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tefimenkova\Documents\"/>
    </mc:Choice>
  </mc:AlternateContent>
  <bookViews>
    <workbookView xWindow="0" yWindow="0" windowWidth="15150" windowHeight="7050"/>
  </bookViews>
  <sheets>
    <sheet name="ЦФО " sheetId="13" r:id="rId1"/>
    <sheet name="СЗФО " sheetId="14" r:id="rId2"/>
    <sheet name="СФО" sheetId="15" r:id="rId3"/>
    <sheet name="ПФО" sheetId="16" r:id="rId4"/>
    <sheet name="ДФО" sheetId="17" r:id="rId5"/>
    <sheet name="ЮФО" sheetId="18" r:id="rId6"/>
    <sheet name="УФО" sheetId="19" r:id="rId7"/>
    <sheet name="СКФО" sheetId="20" r:id="rId8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24" i="13" l="1"/>
  <c r="F225" i="13"/>
  <c r="F226" i="13"/>
  <c r="G226" i="13"/>
  <c r="F227" i="13"/>
  <c r="F228" i="13"/>
  <c r="F229" i="13"/>
  <c r="F230" i="13"/>
  <c r="F231" i="13"/>
  <c r="F232" i="13"/>
  <c r="F233" i="13"/>
  <c r="F234" i="13"/>
  <c r="F235" i="13"/>
  <c r="F236" i="13"/>
  <c r="F237" i="13"/>
  <c r="F238" i="13"/>
  <c r="F239" i="13"/>
  <c r="F240" i="13"/>
  <c r="F241" i="13"/>
  <c r="F242" i="13"/>
  <c r="F243" i="13"/>
  <c r="G229" i="13"/>
  <c r="G230" i="13"/>
  <c r="G231" i="13"/>
  <c r="G232" i="13"/>
  <c r="G234" i="13"/>
  <c r="F9" i="19"/>
  <c r="F18" i="20"/>
  <c r="F16" i="20"/>
  <c r="F14" i="20"/>
  <c r="F13" i="20"/>
  <c r="F12" i="20"/>
  <c r="F11" i="20"/>
  <c r="F10" i="20"/>
  <c r="F9" i="20"/>
  <c r="F8" i="20"/>
  <c r="F7" i="20"/>
  <c r="F6" i="20"/>
  <c r="F5" i="20"/>
  <c r="F47" i="19"/>
  <c r="F43" i="19"/>
  <c r="F42" i="19"/>
  <c r="F41" i="19"/>
  <c r="F40" i="19"/>
  <c r="F39" i="19"/>
  <c r="F38" i="19"/>
  <c r="F37" i="19"/>
  <c r="F36" i="19"/>
  <c r="F35" i="19"/>
  <c r="G34" i="19"/>
  <c r="F34" i="19"/>
  <c r="F33" i="19"/>
  <c r="G32" i="19"/>
  <c r="F32" i="19"/>
  <c r="F30" i="19"/>
  <c r="G29" i="19"/>
  <c r="F29" i="19"/>
  <c r="F28" i="19"/>
  <c r="F27" i="19"/>
  <c r="F26" i="19"/>
  <c r="G25" i="19"/>
  <c r="F25" i="19"/>
  <c r="F24" i="19"/>
  <c r="F23" i="19"/>
  <c r="F22" i="19"/>
  <c r="F21" i="19"/>
  <c r="F20" i="19"/>
  <c r="G19" i="19"/>
  <c r="F19" i="19"/>
  <c r="F18" i="19"/>
  <c r="F17" i="19"/>
  <c r="F16" i="19"/>
  <c r="F15" i="19"/>
  <c r="F14" i="19"/>
  <c r="F12" i="19"/>
  <c r="F11" i="19"/>
  <c r="G10" i="19"/>
  <c r="F10" i="19"/>
  <c r="F8" i="19"/>
  <c r="G7" i="19"/>
  <c r="F7" i="19"/>
  <c r="F6" i="19"/>
  <c r="G5" i="19"/>
  <c r="F5" i="19"/>
  <c r="F4" i="19"/>
  <c r="F24" i="18"/>
  <c r="F23" i="18"/>
  <c r="G22" i="18"/>
  <c r="F22" i="18"/>
  <c r="F21" i="18"/>
  <c r="G20" i="18"/>
  <c r="F20" i="18"/>
  <c r="F18" i="18"/>
  <c r="G15" i="18"/>
  <c r="F15" i="18"/>
  <c r="F14" i="18"/>
  <c r="F13" i="18"/>
  <c r="F12" i="18"/>
  <c r="F11" i="18"/>
  <c r="F10" i="18"/>
  <c r="F9" i="18"/>
  <c r="F8" i="18"/>
  <c r="F7" i="18"/>
  <c r="F6" i="18"/>
  <c r="F5" i="18"/>
  <c r="F4" i="18"/>
  <c r="F42" i="17"/>
  <c r="F41" i="17"/>
  <c r="F40" i="17"/>
  <c r="F39" i="17"/>
  <c r="F38" i="17"/>
  <c r="F37" i="17"/>
  <c r="F36" i="17"/>
  <c r="F35" i="17"/>
  <c r="F33" i="17"/>
  <c r="F32" i="17"/>
  <c r="F30" i="17"/>
  <c r="F29" i="17"/>
  <c r="F28" i="17"/>
  <c r="F27" i="17"/>
  <c r="F26" i="17"/>
  <c r="F25" i="17"/>
  <c r="G24" i="17"/>
  <c r="F24" i="17"/>
  <c r="F23" i="17"/>
  <c r="F22" i="17"/>
  <c r="F21" i="17"/>
  <c r="F20" i="17"/>
  <c r="F19" i="17"/>
  <c r="F17" i="17"/>
  <c r="G16" i="17"/>
  <c r="F16" i="17"/>
  <c r="F15" i="17"/>
  <c r="F14" i="17"/>
  <c r="F13" i="17"/>
  <c r="F12" i="17"/>
  <c r="F11" i="17"/>
  <c r="G10" i="17"/>
  <c r="F10" i="17"/>
  <c r="F9" i="17"/>
  <c r="F8" i="17"/>
  <c r="F7" i="17"/>
  <c r="F6" i="17"/>
  <c r="F5" i="17"/>
  <c r="F4" i="17"/>
  <c r="G108" i="16"/>
  <c r="F108" i="16"/>
  <c r="F107" i="16"/>
  <c r="G106" i="16"/>
  <c r="F106" i="16"/>
  <c r="F105" i="16"/>
  <c r="G104" i="16"/>
  <c r="F104" i="16"/>
  <c r="G103" i="16"/>
  <c r="F103" i="16"/>
  <c r="G102" i="16"/>
  <c r="F102" i="16"/>
  <c r="G101" i="16"/>
  <c r="F101" i="16"/>
  <c r="G100" i="16"/>
  <c r="F100" i="16"/>
  <c r="G99" i="16"/>
  <c r="F99" i="16"/>
  <c r="F98" i="16"/>
  <c r="F97" i="16"/>
  <c r="G96" i="16"/>
  <c r="F96" i="16"/>
  <c r="F95" i="16"/>
  <c r="G94" i="16"/>
  <c r="F94" i="16"/>
  <c r="F93" i="16"/>
  <c r="F92" i="16"/>
  <c r="F90" i="16"/>
  <c r="G89" i="16"/>
  <c r="F89" i="16"/>
  <c r="F88" i="16"/>
  <c r="F87" i="16"/>
  <c r="G86" i="16"/>
  <c r="F86" i="16"/>
  <c r="F85" i="16"/>
  <c r="F84" i="16"/>
  <c r="G79" i="16"/>
  <c r="F79" i="16"/>
  <c r="G77" i="16"/>
  <c r="F77" i="16"/>
  <c r="F76" i="16"/>
  <c r="F75" i="16"/>
  <c r="F74" i="16"/>
  <c r="F73" i="16"/>
  <c r="G72" i="16"/>
  <c r="F72" i="16"/>
  <c r="G71" i="16"/>
  <c r="F71" i="16"/>
  <c r="F70" i="16"/>
  <c r="F69" i="16"/>
  <c r="F68" i="16"/>
  <c r="G67" i="16"/>
  <c r="F67" i="16"/>
  <c r="G66" i="16"/>
  <c r="F66" i="16"/>
  <c r="G65" i="16"/>
  <c r="F65" i="16"/>
  <c r="F64" i="16"/>
  <c r="G63" i="16"/>
  <c r="F63" i="16"/>
  <c r="G62" i="16"/>
  <c r="F62" i="16"/>
  <c r="G61" i="16"/>
  <c r="G60" i="16"/>
  <c r="F60" i="16"/>
  <c r="F59" i="16"/>
  <c r="G58" i="16"/>
  <c r="F58" i="16"/>
  <c r="G57" i="16"/>
  <c r="F57" i="16"/>
  <c r="F56" i="16"/>
  <c r="G55" i="16"/>
  <c r="F55" i="16"/>
  <c r="F54" i="16"/>
  <c r="F53" i="16"/>
  <c r="F51" i="16"/>
  <c r="G47" i="16"/>
  <c r="F47" i="16"/>
  <c r="F46" i="16"/>
  <c r="F45" i="16"/>
  <c r="G44" i="16"/>
  <c r="F44" i="16"/>
  <c r="G43" i="16"/>
  <c r="F43" i="16"/>
  <c r="G42" i="16"/>
  <c r="F42" i="16"/>
  <c r="G41" i="16"/>
  <c r="F41" i="16"/>
  <c r="G40" i="16"/>
  <c r="F40" i="16"/>
  <c r="F39" i="16"/>
  <c r="G38" i="16"/>
  <c r="F38" i="16"/>
  <c r="F35" i="16"/>
  <c r="G34" i="16"/>
  <c r="F34" i="16"/>
  <c r="G33" i="16"/>
  <c r="F33" i="16"/>
  <c r="G32" i="16"/>
  <c r="F32" i="16"/>
  <c r="G31" i="16"/>
  <c r="F31" i="16"/>
  <c r="G30" i="16"/>
  <c r="F30" i="16"/>
  <c r="G29" i="16"/>
  <c r="F29" i="16"/>
  <c r="G28" i="16"/>
  <c r="F28" i="16"/>
  <c r="G27" i="16"/>
  <c r="F27" i="16"/>
  <c r="G26" i="16"/>
  <c r="F26" i="16"/>
  <c r="F25" i="16"/>
  <c r="G24" i="16"/>
  <c r="F24" i="16"/>
  <c r="G23" i="16"/>
  <c r="F23" i="16"/>
  <c r="F22" i="16"/>
  <c r="F21" i="16"/>
  <c r="G20" i="16"/>
  <c r="F20" i="16"/>
  <c r="F19" i="16"/>
  <c r="F18" i="16"/>
  <c r="G17" i="16"/>
  <c r="F17" i="16"/>
  <c r="G16" i="16"/>
  <c r="F16" i="16"/>
  <c r="F15" i="16"/>
  <c r="G14" i="16"/>
  <c r="F14" i="16"/>
  <c r="G13" i="16"/>
  <c r="F13" i="16"/>
  <c r="G12" i="16"/>
  <c r="G11" i="16"/>
  <c r="F11" i="16"/>
  <c r="F10" i="16"/>
  <c r="G9" i="16"/>
  <c r="F9" i="16"/>
  <c r="F8" i="16"/>
  <c r="F7" i="16"/>
  <c r="F6" i="16"/>
  <c r="F5" i="16"/>
  <c r="F4" i="16"/>
  <c r="F88" i="15"/>
  <c r="F87" i="15"/>
  <c r="F86" i="15"/>
  <c r="F85" i="15"/>
  <c r="F84" i="15"/>
  <c r="G83" i="15"/>
  <c r="F83" i="15"/>
  <c r="F82" i="15"/>
  <c r="G81" i="15"/>
  <c r="F81" i="15"/>
  <c r="G80" i="15"/>
  <c r="F80" i="15"/>
  <c r="G79" i="15"/>
  <c r="F79" i="15"/>
  <c r="G78" i="15"/>
  <c r="F78" i="15"/>
  <c r="G77" i="15"/>
  <c r="F77" i="15"/>
  <c r="G76" i="15"/>
  <c r="F76" i="15"/>
  <c r="G75" i="15"/>
  <c r="F75" i="15"/>
  <c r="G74" i="15"/>
  <c r="F74" i="15"/>
  <c r="G73" i="15"/>
  <c r="F73" i="15"/>
  <c r="F70" i="15"/>
  <c r="F69" i="15"/>
  <c r="F68" i="15"/>
  <c r="F67" i="15"/>
  <c r="G66" i="15"/>
  <c r="F66" i="15"/>
  <c r="F65" i="15"/>
  <c r="G64" i="15"/>
  <c r="F64" i="15"/>
  <c r="F61" i="15"/>
  <c r="G59" i="15"/>
  <c r="F59" i="15"/>
  <c r="G58" i="15"/>
  <c r="F58" i="15"/>
  <c r="G57" i="15"/>
  <c r="F57" i="15"/>
  <c r="F56" i="15"/>
  <c r="F55" i="15"/>
  <c r="F54" i="15"/>
  <c r="G53" i="15"/>
  <c r="F53" i="15"/>
  <c r="G52" i="15"/>
  <c r="F52" i="15"/>
  <c r="F51" i="15"/>
  <c r="G50" i="15"/>
  <c r="F50" i="15"/>
  <c r="F49" i="15"/>
  <c r="F48" i="15"/>
  <c r="F44" i="15"/>
  <c r="F43" i="15"/>
  <c r="G42" i="15"/>
  <c r="F42" i="15"/>
  <c r="F41" i="15"/>
  <c r="G40" i="15"/>
  <c r="F40" i="15"/>
  <c r="F39" i="15"/>
  <c r="F38" i="15"/>
  <c r="F37" i="15"/>
  <c r="F36" i="15"/>
  <c r="F35" i="15"/>
  <c r="G33" i="15"/>
  <c r="F33" i="15"/>
  <c r="F32" i="15"/>
  <c r="F31" i="15"/>
  <c r="F30" i="15"/>
  <c r="G29" i="15"/>
  <c r="F29" i="15"/>
  <c r="F28" i="15"/>
  <c r="F27" i="15"/>
  <c r="F26" i="15"/>
  <c r="F25" i="15"/>
  <c r="F22" i="15"/>
  <c r="F21" i="15"/>
  <c r="G20" i="15"/>
  <c r="F20" i="15"/>
  <c r="F19" i="15"/>
  <c r="F18" i="15"/>
  <c r="F17" i="15"/>
  <c r="F16" i="15"/>
  <c r="F15" i="15"/>
  <c r="F14" i="15"/>
  <c r="F13" i="15"/>
  <c r="F12" i="15"/>
  <c r="F11" i="15"/>
  <c r="G9" i="15"/>
  <c r="F9" i="15"/>
  <c r="F8" i="15"/>
  <c r="F7" i="15"/>
  <c r="F6" i="15"/>
  <c r="F5" i="15"/>
  <c r="F4" i="15"/>
  <c r="G99" i="14"/>
  <c r="F99" i="14"/>
  <c r="F97" i="14"/>
  <c r="F96" i="14"/>
  <c r="F95" i="14"/>
  <c r="F90" i="14"/>
  <c r="F89" i="14"/>
  <c r="F88" i="14"/>
  <c r="G87" i="14"/>
  <c r="F87" i="14"/>
  <c r="F86" i="14"/>
  <c r="F84" i="14"/>
  <c r="F83" i="14"/>
  <c r="G82" i="14"/>
  <c r="F82" i="14"/>
  <c r="G81" i="14"/>
  <c r="F81" i="14"/>
  <c r="F80" i="14"/>
  <c r="F76" i="14"/>
  <c r="G75" i="14"/>
  <c r="F75" i="14"/>
  <c r="F74" i="14"/>
  <c r="F64" i="14"/>
  <c r="F63" i="14"/>
  <c r="G62" i="14"/>
  <c r="F62" i="14"/>
  <c r="G61" i="14"/>
  <c r="F61" i="14"/>
  <c r="F59" i="14"/>
  <c r="G58" i="14"/>
  <c r="G57" i="14"/>
  <c r="F57" i="14"/>
  <c r="G56" i="14"/>
  <c r="F56" i="14"/>
  <c r="F55" i="14"/>
  <c r="F54" i="14"/>
  <c r="G53" i="14"/>
  <c r="F53" i="14"/>
  <c r="F52" i="14"/>
  <c r="G51" i="14"/>
  <c r="F51" i="14"/>
  <c r="F50" i="14"/>
  <c r="G48" i="14"/>
  <c r="F48" i="14"/>
  <c r="F47" i="14"/>
  <c r="G46" i="14"/>
  <c r="F46" i="14"/>
  <c r="G45" i="14"/>
  <c r="F45" i="14"/>
  <c r="G44" i="14"/>
  <c r="F44" i="14"/>
  <c r="G43" i="14"/>
  <c r="F43" i="14"/>
  <c r="G42" i="14"/>
  <c r="F42" i="14"/>
  <c r="F41" i="14"/>
  <c r="G40" i="14"/>
  <c r="F40" i="14"/>
  <c r="F39" i="14"/>
  <c r="F38" i="14"/>
  <c r="F37" i="14"/>
  <c r="G36" i="14"/>
  <c r="F36" i="14"/>
  <c r="G35" i="14"/>
  <c r="F35" i="14"/>
  <c r="G34" i="14"/>
  <c r="F34" i="14"/>
  <c r="G33" i="14"/>
  <c r="F33" i="14"/>
  <c r="F32" i="14"/>
  <c r="G31" i="14"/>
  <c r="F31" i="14"/>
  <c r="G30" i="14"/>
  <c r="F30" i="14"/>
  <c r="F29" i="14"/>
  <c r="F28" i="14"/>
  <c r="G27" i="14"/>
  <c r="F27" i="14"/>
  <c r="G26" i="14"/>
  <c r="F26" i="14"/>
  <c r="G25" i="14"/>
  <c r="F25" i="14"/>
  <c r="F24" i="14"/>
  <c r="F23" i="14"/>
  <c r="G22" i="14"/>
  <c r="F22" i="14"/>
  <c r="F21" i="14"/>
  <c r="G20" i="14"/>
  <c r="F20" i="14"/>
  <c r="F19" i="14"/>
  <c r="F18" i="14"/>
  <c r="G16" i="14"/>
  <c r="F16" i="14"/>
  <c r="F15" i="14"/>
  <c r="F14" i="14"/>
  <c r="G13" i="14"/>
  <c r="F13" i="14"/>
  <c r="F12" i="14"/>
  <c r="G11" i="14"/>
  <c r="F11" i="14"/>
  <c r="F9" i="14"/>
  <c r="G8" i="14"/>
  <c r="F7" i="14"/>
  <c r="G6" i="14"/>
  <c r="F6" i="14"/>
  <c r="G4" i="14"/>
  <c r="F4" i="14"/>
  <c r="G295" i="13"/>
  <c r="F295" i="13"/>
  <c r="F294" i="13"/>
  <c r="G293" i="13"/>
  <c r="F293" i="13"/>
  <c r="F292" i="13"/>
  <c r="F291" i="13"/>
  <c r="G290" i="13"/>
  <c r="F290" i="13"/>
  <c r="G289" i="13"/>
  <c r="F289" i="13"/>
  <c r="F288" i="13"/>
  <c r="G287" i="13"/>
  <c r="F287" i="13"/>
  <c r="G286" i="13"/>
  <c r="F286" i="13"/>
  <c r="G285" i="13"/>
  <c r="F285" i="13"/>
  <c r="F284" i="13"/>
  <c r="F283" i="13"/>
  <c r="F281" i="13"/>
  <c r="F280" i="13"/>
  <c r="F279" i="13"/>
  <c r="F277" i="13"/>
  <c r="F276" i="13"/>
  <c r="F275" i="13"/>
  <c r="G274" i="13"/>
  <c r="F274" i="13"/>
  <c r="F273" i="13"/>
  <c r="F268" i="13"/>
  <c r="G267" i="13"/>
  <c r="F267" i="13"/>
  <c r="F266" i="13"/>
  <c r="G265" i="13"/>
  <c r="F265" i="13"/>
  <c r="F264" i="13"/>
  <c r="F263" i="13"/>
  <c r="F262" i="13"/>
  <c r="F261" i="13"/>
  <c r="F260" i="13"/>
  <c r="F259" i="13"/>
  <c r="F258" i="13"/>
  <c r="F257" i="13"/>
  <c r="G256" i="13"/>
  <c r="F256" i="13"/>
  <c r="G255" i="13"/>
  <c r="F255" i="13"/>
  <c r="F254" i="13"/>
  <c r="F253" i="13"/>
  <c r="G252" i="13"/>
  <c r="F252" i="13"/>
  <c r="F251" i="13"/>
  <c r="F250" i="13"/>
  <c r="G249" i="13"/>
  <c r="F249" i="13"/>
  <c r="F248" i="13"/>
  <c r="F247" i="13"/>
  <c r="F246" i="13"/>
  <c r="G245" i="13"/>
  <c r="F245" i="13"/>
  <c r="G244" i="13"/>
  <c r="F244" i="13"/>
  <c r="G243" i="13"/>
  <c r="G241" i="13"/>
  <c r="G240" i="13"/>
  <c r="G181" i="13"/>
  <c r="F181" i="13"/>
  <c r="G180" i="13"/>
  <c r="F180" i="13"/>
  <c r="F179" i="13"/>
  <c r="G178" i="13"/>
  <c r="F178" i="13"/>
  <c r="G177" i="13"/>
  <c r="F177" i="13"/>
  <c r="F176" i="13"/>
  <c r="F175" i="13"/>
  <c r="F174" i="13"/>
  <c r="F173" i="13"/>
  <c r="F172" i="13"/>
  <c r="F170" i="13"/>
  <c r="G169" i="13"/>
  <c r="F169" i="13"/>
  <c r="F168" i="13"/>
  <c r="G167" i="13"/>
  <c r="F167" i="13"/>
  <c r="G166" i="13"/>
  <c r="F166" i="13"/>
  <c r="G165" i="13"/>
  <c r="F165" i="13"/>
  <c r="F164" i="13"/>
  <c r="G163" i="13"/>
  <c r="F163" i="13"/>
  <c r="G162" i="13"/>
  <c r="F162" i="13"/>
  <c r="F161" i="13"/>
  <c r="G160" i="13"/>
  <c r="F160" i="13"/>
  <c r="F159" i="13"/>
  <c r="G158" i="13"/>
  <c r="F158" i="13"/>
  <c r="G157" i="13"/>
  <c r="F157" i="13"/>
  <c r="G156" i="13"/>
  <c r="F156" i="13"/>
  <c r="F155" i="13"/>
  <c r="G154" i="13"/>
  <c r="F154" i="13"/>
  <c r="G153" i="13"/>
  <c r="F153" i="13"/>
  <c r="G151" i="13"/>
  <c r="F151" i="13"/>
  <c r="F150" i="13"/>
  <c r="F149" i="13"/>
  <c r="G148" i="13"/>
  <c r="F148" i="13"/>
  <c r="G147" i="13"/>
  <c r="F147" i="13"/>
  <c r="G146" i="13"/>
  <c r="F146" i="13"/>
  <c r="G145" i="13"/>
  <c r="F145" i="13"/>
  <c r="G144" i="13"/>
  <c r="G143" i="13"/>
  <c r="F143" i="13"/>
  <c r="G142" i="13"/>
  <c r="F142" i="13"/>
  <c r="F141" i="13"/>
  <c r="F140" i="13"/>
  <c r="G139" i="13"/>
  <c r="F139" i="13"/>
  <c r="F138" i="13"/>
  <c r="F137" i="13"/>
  <c r="G136" i="13"/>
  <c r="F136" i="13"/>
  <c r="G135" i="13"/>
  <c r="F135" i="13"/>
  <c r="F134" i="13"/>
  <c r="G133" i="13"/>
  <c r="F133" i="13"/>
  <c r="G132" i="13"/>
  <c r="F132" i="13"/>
  <c r="G131" i="13"/>
  <c r="F131" i="13"/>
  <c r="G130" i="13"/>
  <c r="F130" i="13"/>
  <c r="G129" i="13"/>
  <c r="F129" i="13"/>
  <c r="G128" i="13"/>
  <c r="F128" i="13"/>
  <c r="G127" i="13"/>
  <c r="F127" i="13"/>
  <c r="G126" i="13"/>
  <c r="F126" i="13"/>
  <c r="F125" i="13"/>
  <c r="G124" i="13"/>
  <c r="F124" i="13"/>
  <c r="F123" i="13"/>
  <c r="G122" i="13"/>
  <c r="F122" i="13"/>
  <c r="G121" i="13"/>
  <c r="F121" i="13"/>
  <c r="G120" i="13"/>
  <c r="F120" i="13"/>
  <c r="G119" i="13"/>
  <c r="F119" i="13"/>
  <c r="G118" i="13"/>
  <c r="F118" i="13"/>
  <c r="G117" i="13"/>
  <c r="F117" i="13"/>
  <c r="G116" i="13"/>
  <c r="F116" i="13"/>
  <c r="G115" i="13"/>
  <c r="F115" i="13"/>
  <c r="G114" i="13"/>
  <c r="F114" i="13"/>
  <c r="G112" i="13"/>
  <c r="F112" i="13"/>
  <c r="G111" i="13"/>
  <c r="F111" i="13"/>
  <c r="G110" i="13"/>
  <c r="F110" i="13"/>
  <c r="F109" i="13"/>
  <c r="F108" i="13"/>
  <c r="G107" i="13"/>
  <c r="F107" i="13"/>
  <c r="G106" i="13"/>
  <c r="F106" i="13"/>
  <c r="F105" i="13"/>
  <c r="G104" i="13"/>
  <c r="F104" i="13"/>
  <c r="F103" i="13"/>
  <c r="G102" i="13"/>
  <c r="F102" i="13"/>
  <c r="G101" i="13"/>
  <c r="F101" i="13"/>
  <c r="F100" i="13"/>
  <c r="F99" i="13"/>
  <c r="G98" i="13"/>
  <c r="F98" i="13"/>
  <c r="G97" i="13"/>
  <c r="F97" i="13"/>
  <c r="F96" i="13"/>
  <c r="G95" i="13"/>
  <c r="F95" i="13"/>
  <c r="F94" i="13"/>
  <c r="G93" i="13"/>
  <c r="F93" i="13"/>
  <c r="F92" i="13"/>
  <c r="G91" i="13"/>
  <c r="F91" i="13"/>
  <c r="G90" i="13"/>
  <c r="F90" i="13"/>
  <c r="G89" i="13"/>
  <c r="F89" i="13"/>
  <c r="G88" i="13"/>
  <c r="F88" i="13"/>
  <c r="G87" i="13"/>
  <c r="F87" i="13"/>
  <c r="G86" i="13"/>
  <c r="F86" i="13"/>
  <c r="F85" i="13"/>
  <c r="F84" i="13"/>
  <c r="G83" i="13"/>
  <c r="F83" i="13"/>
  <c r="G82" i="13"/>
  <c r="F82" i="13"/>
  <c r="F81" i="13"/>
  <c r="F80" i="13"/>
  <c r="G79" i="13"/>
  <c r="F79" i="13"/>
  <c r="G78" i="13"/>
  <c r="F78" i="13"/>
  <c r="G77" i="13"/>
  <c r="F77" i="13"/>
  <c r="F76" i="13"/>
  <c r="F75" i="13"/>
  <c r="G74" i="13"/>
  <c r="F74" i="13"/>
  <c r="F73" i="13"/>
  <c r="F72" i="13"/>
  <c r="G71" i="13"/>
  <c r="F71" i="13"/>
  <c r="G70" i="13"/>
  <c r="F70" i="13"/>
  <c r="F69" i="13"/>
  <c r="G68" i="13"/>
  <c r="F68" i="13"/>
  <c r="F67" i="13"/>
  <c r="F66" i="13"/>
  <c r="G65" i="13"/>
  <c r="F65" i="13"/>
  <c r="F64" i="13"/>
  <c r="G63" i="13"/>
  <c r="F63" i="13"/>
  <c r="G62" i="13"/>
  <c r="F62" i="13"/>
  <c r="G61" i="13"/>
  <c r="F61" i="13"/>
  <c r="F60" i="13"/>
  <c r="G59" i="13"/>
  <c r="F59" i="13"/>
  <c r="F58" i="13"/>
  <c r="G57" i="13"/>
  <c r="F57" i="13"/>
  <c r="G56" i="13"/>
  <c r="F56" i="13"/>
  <c r="F55" i="13"/>
  <c r="G54" i="13"/>
  <c r="F54" i="13"/>
  <c r="F53" i="13"/>
  <c r="G52" i="13"/>
  <c r="F52" i="13"/>
  <c r="G51" i="13"/>
  <c r="F51" i="13"/>
  <c r="G49" i="13"/>
  <c r="F49" i="13"/>
  <c r="F48" i="13"/>
  <c r="G47" i="13"/>
  <c r="F47" i="13"/>
  <c r="F46" i="13"/>
  <c r="F45" i="13"/>
  <c r="F44" i="13"/>
  <c r="G43" i="13"/>
  <c r="F43" i="13"/>
  <c r="G42" i="13"/>
  <c r="G40" i="13"/>
  <c r="F40" i="13"/>
  <c r="G39" i="13"/>
  <c r="F39" i="13"/>
  <c r="G38" i="13"/>
  <c r="F38" i="13"/>
  <c r="G37" i="13"/>
  <c r="F37" i="13"/>
  <c r="G36" i="13"/>
  <c r="F36" i="13"/>
  <c r="G35" i="13"/>
  <c r="G34" i="13"/>
  <c r="F34" i="13"/>
  <c r="G33" i="13"/>
  <c r="F33" i="13"/>
  <c r="F32" i="13"/>
  <c r="G31" i="13"/>
  <c r="F31" i="13"/>
  <c r="G30" i="13"/>
  <c r="F30" i="13"/>
  <c r="G29" i="13"/>
  <c r="F29" i="13"/>
  <c r="F28" i="13"/>
  <c r="G27" i="13"/>
  <c r="F27" i="13"/>
  <c r="G26" i="13"/>
  <c r="F26" i="13"/>
  <c r="G25" i="13"/>
  <c r="F25" i="13"/>
  <c r="F23" i="13"/>
  <c r="F20" i="13"/>
  <c r="F19" i="13"/>
  <c r="G18" i="13"/>
  <c r="F18" i="13"/>
  <c r="G17" i="13"/>
  <c r="F17" i="13"/>
  <c r="F16" i="13"/>
  <c r="F15" i="13"/>
  <c r="G14" i="13"/>
  <c r="F14" i="13"/>
  <c r="F13" i="13"/>
  <c r="F12" i="13"/>
  <c r="F11" i="13"/>
  <c r="G10" i="13"/>
  <c r="F10" i="13"/>
  <c r="F9" i="13"/>
  <c r="F8" i="13"/>
  <c r="G7" i="13"/>
  <c r="F7" i="13"/>
  <c r="F5" i="13"/>
  <c r="G4" i="13"/>
  <c r="F4" i="13"/>
</calcChain>
</file>

<file path=xl/sharedStrings.xml><?xml version="1.0" encoding="utf-8"?>
<sst xmlns="http://schemas.openxmlformats.org/spreadsheetml/2006/main" count="3026" uniqueCount="1657">
  <si>
    <t>Наименование организации</t>
  </si>
  <si>
    <t>Адрес</t>
  </si>
  <si>
    <t>Регион</t>
  </si>
  <si>
    <t>656038, г.Барнаул, пр. Ленина, д. 40</t>
  </si>
  <si>
    <t>Алтайский край</t>
  </si>
  <si>
    <t>Федеральное государственное унитарное предприятие "Федеральный научно-производственный центр "АЛТАЙ"</t>
  </si>
  <si>
    <t xml:space="preserve">659322, Алтайского края, г. Бийск, ул. Социалистическая, 1 </t>
  </si>
  <si>
    <t>675000, г.Благовещенск, ул. Горького, д. 95</t>
  </si>
  <si>
    <t>Амурская область</t>
  </si>
  <si>
    <t>Архангельская область</t>
  </si>
  <si>
    <t>414000, г. Астрахань, ул. Бакинская, д. 121</t>
  </si>
  <si>
    <t>Астраханская область</t>
  </si>
  <si>
    <t>Белгородская область</t>
  </si>
  <si>
    <t>Закрытое акционерное общество "Опытно-Экспериментальный завод "ВладМиВа"</t>
  </si>
  <si>
    <t>308023, г. Белгород, ул. Студенческая, д. 19</t>
  </si>
  <si>
    <t>Общество с ограниченной ответственностью "Металл-групп"</t>
  </si>
  <si>
    <t>309076, Белгородская обл, район Яковлевский, поселок Яковлево, улица Южная, 12</t>
  </si>
  <si>
    <t>Закрытое акционерное общество "Завод Премиксов №1"</t>
  </si>
  <si>
    <t>309261, Белгородская область, Шебекино, ул. Докучаева, 2</t>
  </si>
  <si>
    <t>Федеральное государственное бюджетное образовательное учреждение высшего профессионального образования "Владимирский государственный университет имени Александра Григорьевича и Николая Григорьевича Столетовых"</t>
  </si>
  <si>
    <t>600000, г. Владимир, ул. М. Горького, д. 87</t>
  </si>
  <si>
    <t>Владимирская область</t>
  </si>
  <si>
    <t>Закрытое акционерное общество "Баромембранная технология"</t>
  </si>
  <si>
    <t>600033, г. Владимир, ул. Элеваторная, 6</t>
  </si>
  <si>
    <t>Волгоградская область</t>
  </si>
  <si>
    <t>Федеральное государственное бюджетное учреждение "Научно-исследовательский институт клинической и экспериментальной ревматологии" РАМН</t>
  </si>
  <si>
    <t>400138, г.Волгоград, ул.им. Землячки, 76</t>
  </si>
  <si>
    <t>Открытое акционерное общество "Конструкторское бюро химавтоматики"</t>
  </si>
  <si>
    <t>394006, г. Воронеж, ул. Ворошилова, д. 20</t>
  </si>
  <si>
    <t>Воронежская область</t>
  </si>
  <si>
    <t>119991, г.Москва, Кропоткинский пер, д. 23</t>
  </si>
  <si>
    <t>федеральное государственное бюджетное образовательное учреждение высшего профессионального образования "Воронежский государственный технический университет"</t>
  </si>
  <si>
    <t>394026, г.Воронеж, Московский проспект, д. 14</t>
  </si>
  <si>
    <t>105005, г.Москва, ул. Радио, 17</t>
  </si>
  <si>
    <t>111116, г.Москва, ул. Авиамоторная, 2</t>
  </si>
  <si>
    <t>Открытое акционерное общество "Турбонасос"</t>
  </si>
  <si>
    <t>394052, г. Воронеж, ул. Острогожская, 10</t>
  </si>
  <si>
    <t>г.Москва</t>
  </si>
  <si>
    <t>Закрытое акционерное общество "1С АКЦИОНЕРНОЕ ОБЩЕСТВО"</t>
  </si>
  <si>
    <t>103220, г.Москва, ул. Башиловская, 1, 2</t>
  </si>
  <si>
    <t>ФГУП "НПЦ газотурбостроения "Салют"</t>
  </si>
  <si>
    <t>105118, г.Москва, проспект Буденного, 16</t>
  </si>
  <si>
    <t>Федеральное государственное унитарное предприятие "Государственный Завод "Пульсар"</t>
  </si>
  <si>
    <t>105187, г.Москва, Окружной проезд, д.27</t>
  </si>
  <si>
    <t>125284, г.Москва, ул. Поликарпова, д.27, строение 3</t>
  </si>
  <si>
    <t>Федеральное государственное бюджетное учреждение "Научно-исследовательский институт медицины труда" РАМН (НИИ МТ)</t>
  </si>
  <si>
    <t>105275, г.Москва, пр-т Буденного, 31</t>
  </si>
  <si>
    <t>Московская область</t>
  </si>
  <si>
    <t>Республика Татарстан</t>
  </si>
  <si>
    <t>Государственное научное учреждение Научно-исследовательский институт кондитерской промышленности Российской академии сельскохозяйственных наук</t>
  </si>
  <si>
    <t>107023, г.Москва, ул. Электрозаводская, 20, стр 3</t>
  </si>
  <si>
    <t>Томская область</t>
  </si>
  <si>
    <t>ОАО "ВИСТ Групп"</t>
  </si>
  <si>
    <t>107078, г.Москва, Докучаев переулок, д. 3, стр. 1</t>
  </si>
  <si>
    <t>ООО "Вист Майнинг Технолоджи"</t>
  </si>
  <si>
    <t>107078, г.Москва, пер Докучаев, д 3, стр 1</t>
  </si>
  <si>
    <t>107078, г.Москва, Хоромный тупик, д. 4, стр. 1</t>
  </si>
  <si>
    <t>Открытое акционерное общество "Российские железные дороги"</t>
  </si>
  <si>
    <t>127018, г.Москва, ул. Советской Армии, 5</t>
  </si>
  <si>
    <t>107174, г.Москва, Новая Басманная, д. 2</t>
  </si>
  <si>
    <t xml:space="preserve">Государственная корпорация «Банк развития и внешнеэкономической деятельности (Внешэкономбанк)» </t>
  </si>
  <si>
    <t>107996, г.Москва пр-т Академика Сахарова, д. 9</t>
  </si>
  <si>
    <t>107996, г.Москва, ул. Стромынка, д. 20</t>
  </si>
  <si>
    <t>ОАО "РТ-Станкомпром"</t>
  </si>
  <si>
    <t>107996, г.Москва, ул.Гиляровского, д.65</t>
  </si>
  <si>
    <t>Общество с ограниченной ответственностью «Центр новых и инновационных технологий СУЭК»</t>
  </si>
  <si>
    <t>109028, г.Москва, наб Серебряническая, д 29</t>
  </si>
  <si>
    <t xml:space="preserve">Государственная корпорация — Фонд содействия реформированию жилищно-коммунального хозяйства </t>
  </si>
  <si>
    <t>109028, г.Москва, ул. Земляной вал, дом 50А, стр.3</t>
  </si>
  <si>
    <t>Открытое акционерное общество "Акционерная компания по транспорту нефти "Транснефть"</t>
  </si>
  <si>
    <t>109180, г.Москва, ул.Большая Полянка, д. 57</t>
  </si>
  <si>
    <t>Объединенная компания РУСАЛ</t>
  </si>
  <si>
    <t>109240, г.Москва ул. Николоямская, д.13, стр. 1</t>
  </si>
  <si>
    <t>ОАО "РТ-Авто"</t>
  </si>
  <si>
    <t>109240, г.Москва, Верхний  Таганский туп., д.2/17, стр.1</t>
  </si>
  <si>
    <t xml:space="preserve">Государственная корпорация - Агентство по страхованию вкладов </t>
  </si>
  <si>
    <t>109240, г.Москва, Верхний Таганский тупик, д. 4</t>
  </si>
  <si>
    <t>117198, г.Москва, ул. Миклухо-Маклая, д. 6</t>
  </si>
  <si>
    <t>121552, г.Москва, ул. Оршанская, д. 3</t>
  </si>
  <si>
    <t>Федеральное государственное бюджетное учреждение "Научно-исследовательский институт питания" РАМН</t>
  </si>
  <si>
    <t>109240, г.Москва, Устьинский проезд, 2/14</t>
  </si>
  <si>
    <t>117105, г.Москва, Нагорный проезд, д. 7, корп. 8/0</t>
  </si>
  <si>
    <t>Государственное научное учреждение Всероссийский научно-исследовательский институт технологический институт ремонта и эксплуатации машинно-тракторного парка  Российской академии сельскохозяйственных наук</t>
  </si>
  <si>
    <t>109428, г.Москва, 1-й институтский пр., 1</t>
  </si>
  <si>
    <t>127994, г.Москва, Вадковский пер., д. 1</t>
  </si>
  <si>
    <t>125047, г.Москва, Миусская пл., д. 9</t>
  </si>
  <si>
    <t>Открытое акционерное общество «Российская корпорация ракетно-космического приборостроения и информационных систем»</t>
  </si>
  <si>
    <t>111250, г.Москва,  ул. Авиамоторная, 53</t>
  </si>
  <si>
    <t>125319, г.Москва, Ленинградский просп., д. 64</t>
  </si>
  <si>
    <t>117997, г.Москва, Стремянный пер., д. 36</t>
  </si>
  <si>
    <t>Общество с ограниченной ответственностью "Особое Конструкторское Бюро Систем Автоматизированного Проектирования" (ОКБ САПР)</t>
  </si>
  <si>
    <t>115114, г.Москва, 2-ой Кожевнический пер.8</t>
  </si>
  <si>
    <t>Челябинская область</t>
  </si>
  <si>
    <t>ОАО "Объединенная металлургическая компания" (ОМК)</t>
  </si>
  <si>
    <t>115184, г.Москва,  Озерковская набережная д.28, стр.2.</t>
  </si>
  <si>
    <t>125009, г.Москва, ул. Большая Никитская, д. 24, стр 5</t>
  </si>
  <si>
    <t>124498, г.Москва, Зеленоград, проезд 4806, дом 6</t>
  </si>
  <si>
    <t>Открытое акционерное общество "Московский радиозавод "Темп"</t>
  </si>
  <si>
    <t>115184, г.Москва, ул. Большая Татарская, 35</t>
  </si>
  <si>
    <t>125124, г.Москва, 3-я ул. Ямского поля, владение 2</t>
  </si>
  <si>
    <t>Общество с ограниченной ответственностью "ТЕЛЕКОР-ЭНЕРГЕТИКА"</t>
  </si>
  <si>
    <t>121059, г.Москва, Брянская ул, 5</t>
  </si>
  <si>
    <t>115230, г.Москва, пр Хлебозаводский, д 7, стр 9</t>
  </si>
  <si>
    <t>127254, г.Москва, ул. Добролюбова, д 3, стр 1</t>
  </si>
  <si>
    <t>123098, г.Москва, ул. Рогова, д. 5а </t>
  </si>
  <si>
    <t>Федеральное государственное бюджетное учреждение "Медико-генетический научный центр" РАМН</t>
  </si>
  <si>
    <t>115478, г.Москва, ул. Москворечье, 1</t>
  </si>
  <si>
    <t>121170, г.Москва, Кутузовский проспект, 34 </t>
  </si>
  <si>
    <t>Государственная корпорация «Российская корпорация нанотехнологий» (Роснано)</t>
  </si>
  <si>
    <t>117036, г.Москва, проспект 60-летия Октября, 10А</t>
  </si>
  <si>
    <t>119606, г.Москва, просп. Вернадского, 84/2</t>
  </si>
  <si>
    <t>Республика Башкортостан</t>
  </si>
  <si>
    <t>Федеральное государственное бюджетное учреждение науки Институт сверхвысокочастотной полупроводниковой электроники Российской академии наук</t>
  </si>
  <si>
    <t xml:space="preserve">123557, г.Москва, Электрический пер., д. 1 </t>
  </si>
  <si>
    <t>Государственное научное учреждение Всероссийский научно-исследовательский институт лекарственных и ароматических растений Российской академии сельскохозяйственных наук (ВИЛАР)</t>
  </si>
  <si>
    <t>117216, г.Москва, ул. Грина, 7</t>
  </si>
  <si>
    <t>Приморский край</t>
  </si>
  <si>
    <t xml:space="preserve">117342, г.Москва, ул.Введенского, 3 </t>
  </si>
  <si>
    <t>Федеральное государственное бюджетное учреждение науки Институт проблем развития науки РАН</t>
  </si>
  <si>
    <t>117335, г.Москва, ул. Гарибальди, 21-Б</t>
  </si>
  <si>
    <t>117545, г.Москва г., 1-й Дорожный пр-д., 1</t>
  </si>
  <si>
    <t>Федеральное государственное унитарное предприятие «Научно-производственный центр автоматики и приборостроения имени академика Н.А. Пилюгина»</t>
  </si>
  <si>
    <t>117342, г.Москва, ул. Введенского 1</t>
  </si>
  <si>
    <t>Федеральное государственное унитарное предприятие "Научно-исследовательский институт "Полюс" им. М.Ф.Стельмаха"</t>
  </si>
  <si>
    <t>117393, г.Москва, ул. Профсоюзная, 78, стр.4</t>
  </si>
  <si>
    <t>Открытое акционерное общество "Савеловский машиностроительный завод"</t>
  </si>
  <si>
    <t>119017, г.Москва, ул. Большая Ордынка, д.24</t>
  </si>
  <si>
    <t>Красноярский край</t>
  </si>
  <si>
    <t>125190, г.Москва, ул. Усиевича, 20</t>
  </si>
  <si>
    <t>Кемеровская область</t>
  </si>
  <si>
    <t>Федеральное государственное унитарное предприятие "Государственный научно-исследовательский институт генетики и селекции промышленных микроорганизмов"</t>
  </si>
  <si>
    <t>117997, г.Москва, ул. Профсоюзная, 84/32, стр 14</t>
  </si>
  <si>
    <t>119296, г.Москва, ул. Молодежная, 3</t>
  </si>
  <si>
    <t>Открытое акционерное общество "Московский завод "Сапфир"</t>
  </si>
  <si>
    <t xml:space="preserve">117545, г.Москва, Днепропетровский пр., 4а, </t>
  </si>
  <si>
    <t>Ярославская область</t>
  </si>
  <si>
    <t>Краснодарский край</t>
  </si>
  <si>
    <t>Федеральное государственное бюджетное учреждение науки Институт теории прогноза землетрясений и математической геофизики РАН</t>
  </si>
  <si>
    <t>142134, г.Москва, поселение Рязановское, пос. Знамя Октября, д.31</t>
  </si>
  <si>
    <t>Ульяновская область</t>
  </si>
  <si>
    <t>г.Москва, ул. Оренбургская, 15</t>
  </si>
  <si>
    <t>Омская область</t>
  </si>
  <si>
    <t>г.Москва, Звенигородское шоссе, 5</t>
  </si>
  <si>
    <t>Ленинградская область</t>
  </si>
  <si>
    <t>Государственная корпорация по атомной энергии «Росатом»</t>
  </si>
  <si>
    <t>Ивановская область</t>
  </si>
  <si>
    <t>127422, г.Москва, ул. Костякова, 12, стр 4</t>
  </si>
  <si>
    <t>Хабаровский край</t>
  </si>
  <si>
    <t>г.Москва, Дмитровское шоссе, 11</t>
  </si>
  <si>
    <t>Забайкальский край</t>
  </si>
  <si>
    <t>ОАО "РТ-Биотехпром"</t>
  </si>
  <si>
    <t>125315, г.Москва, ул. Балтийская, 8</t>
  </si>
  <si>
    <t>119071, г.Москва, 2-й Донской пр., 4</t>
  </si>
  <si>
    <t xml:space="preserve">127566, г.Москва, Алтуфьевское ш. 44, </t>
  </si>
  <si>
    <t>Федеральное государственное бюджетное учреждение науки Геофизический центр РАН</t>
  </si>
  <si>
    <t>127015, г.Москва, ул. Бутырская, 77, БЦ "Диагональ Хаус"</t>
  </si>
  <si>
    <t>ОАО "РТ-Химкомпозит"</t>
  </si>
  <si>
    <t>119435, г.Москва, Б.Саввинский пер., д.11/1</t>
  </si>
  <si>
    <t>Закрытое акционерное общество "Авикомп Сервисез"</t>
  </si>
  <si>
    <t>121059, г.Москва, ул.Киевская, 7-7</t>
  </si>
  <si>
    <t>125362, г.Москва, ул. Вишневая, д.7</t>
  </si>
  <si>
    <t>125993, г.Москва, ул. Красноармейская, д. 1</t>
  </si>
  <si>
    <t>125993, г.Москва, ул. Красноармейская, д. 1</t>
  </si>
  <si>
    <t>125993 , г.Москва, Красноармейская, дом 1,</t>
  </si>
  <si>
    <t>Открытое акционерное общество «Объединенная ракетно-космическая корпорация»</t>
  </si>
  <si>
    <t>121059, г.Москва, Бережковская наб. д.22</t>
  </si>
  <si>
    <t>Закрытое акционерное общество "ИльмиксГрупп"</t>
  </si>
  <si>
    <t>123022, г.Москва, ул. Рочдельская, д. 15. стр. 35</t>
  </si>
  <si>
    <t>ОАО "НПО Высокоточные комплексы"</t>
  </si>
  <si>
    <t>Республика Дагестан</t>
  </si>
  <si>
    <t>123317, г.Москва, ул. Тестовская, д.10, подъезд 2</t>
  </si>
  <si>
    <t>Открытое акционерное общество "Концерн радиостроения "Вега"</t>
  </si>
  <si>
    <t>212309, г.Москва, ул.Новозаводская 18</t>
  </si>
  <si>
    <t>Корпорация "Русские машины"</t>
  </si>
  <si>
    <t>Открытое акционерное общество "Высокотехнологический научно-исследовательский институт неорганических материалов имени академика А.А.Бочвара"</t>
  </si>
  <si>
    <t>142181, Московская обл, г. Климовск, ул. Заводская, 2</t>
  </si>
  <si>
    <t>141070, г. Королев, Московская обл., ул. Ленина, 4а</t>
  </si>
  <si>
    <t>ОАО "СОЛЛЕРС"</t>
  </si>
  <si>
    <t>143403, Московская область, г.Красногорск, ул. Речная, д. 8</t>
  </si>
  <si>
    <t>Открытое акционерное общество "Корпорация "Фазотрон–Научно-исследовательский институт радиостроения"</t>
  </si>
  <si>
    <t>141190, г. Фрязино , ул. Вокзальная, 2 А</t>
  </si>
  <si>
    <t>124482, г.Зеленоград, д. 100</t>
  </si>
  <si>
    <t>142207, Московская обл., г. Серпухов, ул. Полевая, д.1</t>
  </si>
  <si>
    <t>143900, Московская обл., г.Балашиха, Западная промзона, шоссе Энтузиастов, 5</t>
  </si>
  <si>
    <t>Открытое акционерное общество "НИИ молекулярной электроники и завод "Микрон"</t>
  </si>
  <si>
    <t>142432, Московская область, Черноголовка, ул.Академика Осипьяна, 6</t>
  </si>
  <si>
    <t>124460, г.г.Москва-Зеленоград, 1-й Западный проезд, д.12</t>
  </si>
  <si>
    <t>143003, Московская область, Одинцово, ул. Маршала Бирюзова, 7а</t>
  </si>
  <si>
    <t>Закрытое акционерное общество "Инструменты нанотехнологии"</t>
  </si>
  <si>
    <t xml:space="preserve">142460, Московская область, пос. им. Воровского </t>
  </si>
  <si>
    <t>143500, Московская область, Истра, ул. Московская, 48</t>
  </si>
  <si>
    <t>143026, Одинцовский район, п. Новоивановское, ул. Калинина, 1</t>
  </si>
  <si>
    <t>Республика Мордовия</t>
  </si>
  <si>
    <t>Республика Карелия</t>
  </si>
  <si>
    <t>142184, Московская область, г.Климовск, пр.50-летия Октября, 21А</t>
  </si>
  <si>
    <t>Кабардино-Балкарская Республика</t>
  </si>
  <si>
    <t>Закрытое акционерное общество "ПКК Миландр"</t>
  </si>
  <si>
    <t>Магаданская область</t>
  </si>
  <si>
    <t>143300, Московская обл., г.Наро-Фоминск, 2-ой Володарский пер.23</t>
  </si>
  <si>
    <t>Республика Коми</t>
  </si>
  <si>
    <t>Закрытое акционерное общество "Ай-Теко"</t>
  </si>
  <si>
    <t>Курская область</t>
  </si>
  <si>
    <t>федеральное государственное бюджетное образовательное учреждение высшего профессионального образования "Российский химико-технологический университет имени Д.И. Менделеева"</t>
  </si>
  <si>
    <t>Открытое акционерное общество Научно-производственное объединение "Наука"</t>
  </si>
  <si>
    <t>Федеральное государственное бюджетное учреждение науки Всероссийский институт научной и технической информации РАН</t>
  </si>
  <si>
    <t>197376, г.Санкт-Петербург, ул. Профессора Попова, д.15/17</t>
  </si>
  <si>
    <t>Калининградская область</t>
  </si>
  <si>
    <t>Ставропольский край</t>
  </si>
  <si>
    <t>197022, г.Санкт-Петербург, ул. Льва Толстого, д. 6/8</t>
  </si>
  <si>
    <t>Мурманская область</t>
  </si>
  <si>
    <t>Чеченская Республика</t>
  </si>
  <si>
    <t>Камчатский край</t>
  </si>
  <si>
    <t>Республика Бурятия</t>
  </si>
  <si>
    <t>Сахалинская область</t>
  </si>
  <si>
    <t>Тверская область</t>
  </si>
  <si>
    <t>Оренбургская область</t>
  </si>
  <si>
    <t>Тамбовская область</t>
  </si>
  <si>
    <t>Кировская область</t>
  </si>
  <si>
    <t>Федеральное государственное бюджетное учреждение науки "Научно-исследовательский институт фармакологии имени В.В. Закусова" РАН</t>
  </si>
  <si>
    <t>Общество с ограниченной ответственностью «ОАК - Центр комплексирования»</t>
  </si>
  <si>
    <t>ОАО "ММП им. В.В. Чернышева"</t>
  </si>
  <si>
    <t>ОАО "УК Мечел-Сталь"</t>
  </si>
  <si>
    <t>Республика Хакасия</t>
  </si>
  <si>
    <t>194021, г.Санкт-Петербург, ул. Карбышева, 15</t>
  </si>
  <si>
    <t>Орловская область</t>
  </si>
  <si>
    <t>ОАО "Мечел-Майнин"</t>
  </si>
  <si>
    <t>199106, г.Санкт-Петербург, 21-я линия, д. 2</t>
  </si>
  <si>
    <t>ОАО "Мечел"</t>
  </si>
  <si>
    <t>ООО "Акуматика"</t>
  </si>
  <si>
    <t>197376, г.Санкт-Петербург, ул. Профессора Попова, д. 5</t>
  </si>
  <si>
    <t>190005, г.Санкт-Петербург, ул. 1-я Красноармейская, д. 1</t>
  </si>
  <si>
    <t>Общество с ограниченной ответственностью "Консультационная фирма "М-РЦБ"</t>
  </si>
  <si>
    <t>198095, г.Санкт-Петербург, ул. Ивана Черных, д. 4</t>
  </si>
  <si>
    <t>195196, г.Санкт-Петербург, Малоохтинский просп., д. 98</t>
  </si>
  <si>
    <t>197046, г.Санкт-Петербург, Малая Посадская ул., 30</t>
  </si>
  <si>
    <t>196105, г.Санкт-Петербург, ул. Благодатная, д.2</t>
  </si>
  <si>
    <t>Государственное научное учреждение Центр экспериментальной эмбриологии и репродуктивных биотехнологий Российской академии сельскохозяйственных наук</t>
  </si>
  <si>
    <t>195274, г.Санкт-Петербург, Учительская, дом 2</t>
  </si>
  <si>
    <t>197376, г.Санкт-Петербург, Чкаловский пр., д. 46</t>
  </si>
  <si>
    <t>194156, г.Санкт-Петербург, просп Энгельса, 27 корп 5А</t>
  </si>
  <si>
    <t>198205, г.Санкт-Петербург, Таллинское шоссе, д. 206</t>
  </si>
  <si>
    <t>194044, г.Санкт-Петербург, ул. Чугунная, д. 20</t>
  </si>
  <si>
    <t>192012, г.Санкт-Петербург, ул. Бабушкина, д. 123</t>
  </si>
  <si>
    <t>190005, г.Санкт-Петербург, ул. 1-ая Красноармейская, д.1</t>
  </si>
  <si>
    <t>199178, г.Санкт-Петербург, В.О. 3-я линия, д.62, Лит.А</t>
  </si>
  <si>
    <t xml:space="preserve">190031, г.Санкт-Петербург, ул.Гражданская, 13-15 </t>
  </si>
  <si>
    <t>191186, г.Санкт-Петербург, Дворцовая набережная, 18, литера А</t>
  </si>
  <si>
    <t>194100, г.Санкт-Петербург, ул. Кантемировская, 11</t>
  </si>
  <si>
    <t>194064, г.Санкт-Петербург, Тихорецкий пр., 21</t>
  </si>
  <si>
    <t>ООО "Акронис"</t>
  </si>
  <si>
    <t>Гатчина (Гатчинский район), Григорина, 7 к1</t>
  </si>
  <si>
    <t>188685 Ленинградская область, Всеволожский район, поселок Воейково, Воейковское ш., дом 15 </t>
  </si>
  <si>
    <t>федеральное государственное бюджетное образовательное учреждение высшего профессионального образования "Московский государственный технологический университет "СТАНКИН"</t>
  </si>
  <si>
    <t>Государственное научное учреждение Всероссийский научно-исследовательский институт механизации животноводства Российской академии сельскохозяйственных наук</t>
  </si>
  <si>
    <t>Федеральное государственное унитарное предприятие «Государственный космический научно-производственный центр имени М.В. Хруничева»</t>
  </si>
  <si>
    <t>Государственное научное учреждение Всероссийский научно-исследовательский институт зерна и продуктов его переработки Российской академии сельскохозяйственных наук</t>
  </si>
  <si>
    <t>Государственное научное учреждение Всероссийский научно-исследовательский институт ветеринарной санитарии, гигиены и экологии Российской академии сельскохозяйственных наук</t>
  </si>
  <si>
    <t>г.Санкт-Петербург</t>
  </si>
  <si>
    <t>420008,  г. Казань, ул. Кремлевская, 18</t>
  </si>
  <si>
    <t>Общество с ограниченной ответственностью "Научно-производственное предприятие "Лазерные системы"</t>
  </si>
  <si>
    <t>Федеральное государственное бюджетное образовательное учреждение высшего профессионального образования "Балтийский государственный технический университет "ВОЕНМЕХ" им. Д.Ф. Устинова"</t>
  </si>
  <si>
    <t>420054, г. Казань г., Тульская ул., д. 58</t>
  </si>
  <si>
    <t>420075, г Казань, ул. АСЫЛ’ЯР (КИНДЕРИ), д. 52</t>
  </si>
  <si>
    <t xml:space="preserve">420085, г. Казань, Тэцевская ул., 14, </t>
  </si>
  <si>
    <t>Открытое акционерное общество "Научно-производственное предприятие теплофизического приборостроения "ОСТЕРМ СПБ"</t>
  </si>
  <si>
    <t xml:space="preserve">420095, г. Казань, ул. Восстания, 100 </t>
  </si>
  <si>
    <t>420095, г Казань, ул. Восстания, д. 100</t>
  </si>
  <si>
    <t>420107, г.Казань, ул. Петербургская, д.50 корп. 23</t>
  </si>
  <si>
    <t>420107, г.Казань, ул. Петербургская, д.50 оф.15</t>
  </si>
  <si>
    <t>420107, г.Казань, ул. Петербургская, д.50 оф.43</t>
  </si>
  <si>
    <t>420107, г.Казань, ул. Петербургская, д.50 корп. 23 оф.33</t>
  </si>
  <si>
    <t>Открытое акционерное общество "Группа "Илим"</t>
  </si>
  <si>
    <t>191025 г.Санкт-Петербург, ул. Марата, д. 17</t>
  </si>
  <si>
    <t>423574, Республика Татарстан, г.Нижнекамск</t>
  </si>
  <si>
    <t>Федеральное государственное бюджетное учреждение науки Институт восточных рукописей РАН</t>
  </si>
  <si>
    <t>423461, г. Альметьевск, Промзона, 11</t>
  </si>
  <si>
    <t>Открытое акционерное общество «ЗВЕЗДА»</t>
  </si>
  <si>
    <t>Федеральное государственное бюджетное учреждение науки Физико-технический институт им. А.Ф. Иоффе Российской академии наук</t>
  </si>
  <si>
    <t>426069, г. Ижевск, ул.Студенческая, д. 7</t>
  </si>
  <si>
    <t>426063, г.Ижевск, ул.Промышленная, 8</t>
  </si>
  <si>
    <t>426008, г.Ижевск, ул.Пушкинская, 268</t>
  </si>
  <si>
    <t>427968, Удмуртская Республика, г. Сарапул, ул. Калинина, д. 3</t>
  </si>
  <si>
    <t>Открытое акционерное общество "ЛОМО"</t>
  </si>
  <si>
    <t>Государственный научный центр РФ Федеральное государственное автономное научное учреждение «Центральный научно-исследовательский и опытно-конструкторский институт робототехники технической кибернетики» (ЦНИИ РТК)</t>
  </si>
  <si>
    <t>ОАО "Климов"</t>
  </si>
  <si>
    <t>Закрытое акционерное общество "Полупроводниковые приборы"</t>
  </si>
  <si>
    <t>федеральное государственное бюджетное образовательное учреждение высшего профессионального образования "Российский государственный гидрометеорологический университет"</t>
  </si>
  <si>
    <t>153040, г. Иваново, проспект Строителей, д. 33</t>
  </si>
  <si>
    <t>153032, г. Иваново, ул. Станкостроителей, д. 1</t>
  </si>
  <si>
    <t>Закрытое акционерное общество "Диаконт"</t>
  </si>
  <si>
    <t>Открытое акционерное общество «Научно-исследовательский проектно-конструкторский и технологический институт электромашиностроения»</t>
  </si>
  <si>
    <t>150000, г. Ярославль ул. Громова,15</t>
  </si>
  <si>
    <t>150000, г. Ярославль, ул Кирова, д 14</t>
  </si>
  <si>
    <t>152934, Ярославская область, г. Рыбинск, ул.Пушкина, д.53</t>
  </si>
  <si>
    <t>152903, Ярославская обл, г. Рыбинск, пр. Ленина, 163</t>
  </si>
  <si>
    <t>Государственное образовательное учреждение высшего профессионального образования «Первый Санкт-Петербургский государственный медицинский университет  имени академика И.П. Павлова» (ПСПбГМУ)</t>
  </si>
  <si>
    <t>152121, Ярославская область, с. Веськово, ул. Петра I, 4а</t>
  </si>
  <si>
    <t>152914, Ярославская обл., г. Рыбинск, ул. Толбухина, 16</t>
  </si>
  <si>
    <t>Открытое акционерное общество "Концерн "Центральный научно-исследовательский институт "Электроприбор"</t>
  </si>
  <si>
    <t>690002, г.Владивосток, проспект Острякова, д. 2</t>
  </si>
  <si>
    <t>690091, г.Владивосток, ул. Суханова, 3</t>
  </si>
  <si>
    <t>690041, г.Владивосток, ул. Радио, 5</t>
  </si>
  <si>
    <t>690091, г.Владивосток, ул. Суханова, 5а</t>
  </si>
  <si>
    <t>690022, г.Владивосток, проспект 100-летия г.Владивостока, 159</t>
  </si>
  <si>
    <t>федеральное государственное бюджетное образовательное учреждение высшего профессионального образования "Санкт-Петербургский государственный электротехнический университет "ЛЭТИ" им. В.И.Ульянова (Ленина)"</t>
  </si>
  <si>
    <t>680000, г.Хабаровск, ул. Ким Ю Чена, 65</t>
  </si>
  <si>
    <t>Открытое акционерное общество "Концерн "Океанприбор"</t>
  </si>
  <si>
    <t>Государственное образовательное учреждение высшего профессионального образования Санкт-Петербургский государственный технологический университет растительных полимеров</t>
  </si>
  <si>
    <t>685000, г.Магадан, ул. Портовая, 16</t>
  </si>
  <si>
    <t>685000, г.Магадан, ул. Пролетарская, 17</t>
  </si>
  <si>
    <t>Закрытое акционерное общество "Оптоган"</t>
  </si>
  <si>
    <t>Государственное научное учреждение Всероссийский научно-исследовательский ветеринарный институт птицеводства  Российской академии сельскохозяйственных наук</t>
  </si>
  <si>
    <t>672010, г. Чита-10, ул. Кирова, 49</t>
  </si>
  <si>
    <t>693023, г.Южно-Сахалинск, ул. Горького, 25</t>
  </si>
  <si>
    <t>Национальный минерально-сырьевой университет «Горный»</t>
  </si>
  <si>
    <t>Закрытое акционерное общество "Универсал-контактные сети"</t>
  </si>
  <si>
    <t>г. Ухта, пр-т Ленина, д. 26, корп. Б</t>
  </si>
  <si>
    <t>167023, г.Сыктывкар, ул. Ручейная, 27</t>
  </si>
  <si>
    <t>Федеральное государственное бюджетное учреждение науки Институт комплексного анализа региональных проблем Дальневосточного отделения РАН</t>
  </si>
  <si>
    <t>679016, Еврейская автономная область, Биробиджан, ул.Шолом-Алейхема, 4</t>
  </si>
  <si>
    <t>Еврейская автономная область</t>
  </si>
  <si>
    <t>654007, Кемеровская область, г. Новокузнецк, ул. Кирова, д. 42</t>
  </si>
  <si>
    <t>Государственное научное учреждение Научно-исследовательский институт ветеринарии Восточной сибири Российской академии сельскохозяйственных наук</t>
  </si>
  <si>
    <t>654027, Кемеровская область, г. Новокузнецк, ул.Невского, 1</t>
  </si>
  <si>
    <t>г. Новокузнецк, Ферросплавный пр-т, д. 7</t>
  </si>
  <si>
    <t>650021, г.Кемерово, ул. Грузовая,19Б</t>
  </si>
  <si>
    <t>650002, г.Кемерово, Сосновый бульвар, 6</t>
  </si>
  <si>
    <t>652877, Кемеровская обл., г. Междуреченск, ул. Юности, д. 6</t>
  </si>
  <si>
    <t>Открытое акционерное общество "Ивановский завод тяжелого станкостроения"</t>
  </si>
  <si>
    <t>Государственное образовательное учреждение высшего профессионального образования "Ивановский институт государственной противопожарной службы Министерства Российской Федерации по делам гражданской обороны, чрезвычайным ситуациям и ликвидации последствий стихийных бедствий"</t>
  </si>
  <si>
    <t>Федеральное государственное бюджетное учреждение "Научный центр проблем здоровья семьи и репродукции человека" Сибирского отделения РАМН (ФГБНУ НЦ ПЗСРЧ)</t>
  </si>
  <si>
    <t>170100, г. Тверь, Советская, д. 4</t>
  </si>
  <si>
    <t>664003, г.Иркутск, ул. Тимирязева, 16</t>
  </si>
  <si>
    <t>Иркутсткая область</t>
  </si>
  <si>
    <t>Федеральное государственное бюджетное учреждение науки Институт систем энергетики им. Л.А. Мелентьева Сибирского отделения РАН</t>
  </si>
  <si>
    <t>664033, г.Иркутск, ул. Лермонтова, 130</t>
  </si>
  <si>
    <t>180022, г. Псков, ул. Новаторов, 3</t>
  </si>
  <si>
    <t>Федеральное государственное бюджетное учреждение науки Иркутский научный центр Сибирского отделения РАН</t>
  </si>
  <si>
    <t>664033, г.Иркутск, ул. Лермонтова, 134</t>
  </si>
  <si>
    <t>Федеральное государственное бюджетное учреждение науки Институт динамики систем и теории управления Сибирского отделения РАН</t>
  </si>
  <si>
    <t>Республика Северная Осетия-Алания</t>
  </si>
  <si>
    <t>Общество с ограниченной ответственностью "Усольехимпром"</t>
  </si>
  <si>
    <t>665462, Иркутская обл., г. Усолье-сибирское, 12</t>
  </si>
  <si>
    <t>614990, г.Пермь, Комсомольский пр., 93</t>
  </si>
  <si>
    <t>ОАО "Коршуновский ГОК"</t>
  </si>
  <si>
    <t>614068, г.Пермь, ул. С. Данщина, 5</t>
  </si>
  <si>
    <t>665653, Иркутская  обл., Нижнеилимский р-н, Железногорск-Илимский, Промзона</t>
  </si>
  <si>
    <t>614014, г.Пермь, ул. 1905 года, д. 35</t>
  </si>
  <si>
    <t>ОАО "РУСАЛ Братск"</t>
  </si>
  <si>
    <t>665716, Иркутская обл., г. Братск-16</t>
  </si>
  <si>
    <t>614990, г. Пермь, ул. 25 Октября, д. 106</t>
  </si>
  <si>
    <t>614990, г.Пермь, Комсомольский проспект, 93</t>
  </si>
  <si>
    <t>Федеральное государственное бюджетное учреждение "Восточно-сибирский научный центр экологии человека" Сибирского отделения РАМН</t>
  </si>
  <si>
    <t>665827, Иркутская область, г.Ангарск, 12 "А" микрорайон, дом 3</t>
  </si>
  <si>
    <t>614990, г. Пермь, ул. Куйбышева, д. 140-а</t>
  </si>
  <si>
    <t>Филиал ОАО "СУАЛ "ИркАЗ-СУАЛ"</t>
  </si>
  <si>
    <t>666031, Иркутская  обл., Шелехов, ул. Индустриальная, 4</t>
  </si>
  <si>
    <t>618200, Пермский край, г. Чусовой, ул. Трудовая, д.13</t>
  </si>
  <si>
    <t>Федеральное государственное бюджетное учреждение науки Научно-исследовательский институт прикладной математики и автоматизации Кабардино-Балкарского научного центра РАН</t>
  </si>
  <si>
    <t>360000, Кабардино-Балкарская Республика, г.Нальчик, ул. Шортанова, 89А</t>
  </si>
  <si>
    <t>443009, г. Самара, ул.Земеца, 18</t>
  </si>
  <si>
    <t>443009, г. Самара, Заводское шоссе, 29</t>
  </si>
  <si>
    <t>Закрытое акционерное общество "Кабельный завод "Кавказкабель"</t>
  </si>
  <si>
    <t>361000, Кабардино-Балкарская Республика, г.Прохладный, ул. Остапенко 21</t>
  </si>
  <si>
    <t>Федеральное государственное бюджетное учреждение науки Научно-исследовательский геотехнологический центр Дальневосточного отделения РАН</t>
  </si>
  <si>
    <t>683002, Камчатский край, г. Петропавловск-Камчатский, Северо-восточное шоссе, 30</t>
  </si>
  <si>
    <t>350039, г. Краснодар, а/я 5269</t>
  </si>
  <si>
    <t>350072, г.Краснодар, ул. Тополиная аллея, 2</t>
  </si>
  <si>
    <t>Федеральное государственное бюджетное учреждение "Научно-исследовательский институт комплексных проблем сердечно-сосудистых заболеваний" Сибирского отделения РАМН</t>
  </si>
  <si>
    <t>353681, Краснодарский край, г.Ейск, ул. Щмидта, д. 293</t>
  </si>
  <si>
    <t>Открытое акционерное общество «Кемеровский опытный ремонтно-механический завод»</t>
  </si>
  <si>
    <t>ОАО "Южный Кузбасс"</t>
  </si>
  <si>
    <t>Федеральное государственное бюджетное образовательное учреждение высшего профессионального образования "Сибирский государственный индустриальный университет"</t>
  </si>
  <si>
    <t>ООО "ОБЪЕДИНЕННАЯ КОМПАНИЯ "СИБШАХТОСТРОЙ"</t>
  </si>
  <si>
    <t xml:space="preserve">432063, г.Ульяновск, ул. Кузнецова, д. 4б  </t>
  </si>
  <si>
    <t>ОАО "РУСАЛ Новокузнецк"</t>
  </si>
  <si>
    <t>Федеральное государственное бюджетное образовательное учреждение высшего профессионального образования «Вятский государственный университет» (ФГБОУ ВПО «ВятГУ»)</t>
  </si>
  <si>
    <t>ОАО "Вятско-Полянский завод "Молот"</t>
  </si>
  <si>
    <t>612960, Кировская обл., г.Вятские Поляны, ул.Ленина, 135</t>
  </si>
  <si>
    <t>ЗАО "ОРТАТ"</t>
  </si>
  <si>
    <t>157092, Костромская обл., Сусанинский р-н, пос.Панфилово</t>
  </si>
  <si>
    <t>Костромская область</t>
  </si>
  <si>
    <t>Государственное научное учреждение "Всероссийский научно-исследовательский институт биологической защиты растений"  Российской академии сельскохозяйственных наук</t>
  </si>
  <si>
    <t>Федеральное государственное бюджетное образовательное учреждение высшего профессионального образования «Кубанский государственный аграрный университет» (ФГБОУ ВПО «КубГАУ»)</t>
  </si>
  <si>
    <t>350044, г.Краснодар, ул. Калинина, 13</t>
  </si>
  <si>
    <t>Государственное научное учреждение Краснодарский научно-исследовательский институт хранения и переработки сельскохозяйственной продукции Российской академии сельскохозяйственных наук</t>
  </si>
  <si>
    <t>440026, г. Пенза, ул. Красная, д. 40</t>
  </si>
  <si>
    <t>ОАО "570 АРЗ"</t>
  </si>
  <si>
    <t>440028, г. Пенза, ул. Г. Титова, д. 28</t>
  </si>
  <si>
    <t>440015, г. Пенза, ул. Байдукова, 2</t>
  </si>
  <si>
    <t>624000, Свердловская область, Арамиль, Гарнизон</t>
  </si>
  <si>
    <t>624480, Свердловская область, г. Североуральск, Ватутина ул, 5</t>
  </si>
  <si>
    <t>624404, Свердловская область, г. Краснотурьинск, ул.Карла Маркса, д. 1</t>
  </si>
  <si>
    <t>623406, Свердловская область г.Каменск-Уральский, Заводская ул., 4</t>
  </si>
  <si>
    <t>Открытое акционерное общество "Енисейгеофизика"</t>
  </si>
  <si>
    <t>660074, г. Красноярск, ул. Ленинградская, 66</t>
  </si>
  <si>
    <t>Общество с ограниченной ответственностью «Объединенная Компания РУСАЛ Инженерно-технологический центр"</t>
  </si>
  <si>
    <t>620144, г.Екатеринбург, ул. Куйбышева, д. 30</t>
  </si>
  <si>
    <t>660111, г Красноярск, ул Пограничников, д 37, стр 1</t>
  </si>
  <si>
    <t>620075, г.Екатеринбург, ул. Мамина-Сибиряка д. 145</t>
  </si>
  <si>
    <t>ОАО "РУСАЛ Красноярск"</t>
  </si>
  <si>
    <t>660111, г. Красноярск, ул. Пограничников, д. 40</t>
  </si>
  <si>
    <t>620100, г.Екатеринбург,  ул. Восточная, 33 Б</t>
  </si>
  <si>
    <t>Открытое акционерное общество "Красноярский машиностроительный завод «Красмаш»</t>
  </si>
  <si>
    <t>660123, г. Красноярск, пр. им. газеты Красноярский рабочий 29</t>
  </si>
  <si>
    <t>620014, г.Екатеринбург, ул. Вайнера, д. 30, офис 1</t>
  </si>
  <si>
    <t>ОАО "РУСАЛ Ачинск"</t>
  </si>
  <si>
    <t xml:space="preserve">620219, г.Екатеринбург, ул. С. Ковалевской, 22, ул.Академическая, 20, ул. Комсомольская, 14 </t>
  </si>
  <si>
    <t>620016, г.Екатеринбург, ул. Амундсена, 101</t>
  </si>
  <si>
    <t>662150, Красноярский край, г. Ачинск, Южная Промзона Квартал xii стр. Строения 1</t>
  </si>
  <si>
    <t>Открытое акционерное общество "Информационные спутниковые системы" имени академика М.Ф. Решетнева" (ОАО "ИСС")</t>
  </si>
  <si>
    <t>662972, Красноярский край, г. Железногорск, ул.Ленина, 52 </t>
  </si>
  <si>
    <t>620144, г.Екатеринбург, ул. 8 Марта, 202</t>
  </si>
  <si>
    <t>Государственное научное учреждение Российский научно-исследовательский институт сахарной промышленности Российской академии сельскохозяйственных наук</t>
  </si>
  <si>
    <t>305029, г.Курск, ул. Карла Маркса, 63</t>
  </si>
  <si>
    <t>620990, г.Екатеринбург, ул. С. Ковалевской, 16</t>
  </si>
  <si>
    <t>620049, г.Екатеринбург, ул. Студенческая, 54-а</t>
  </si>
  <si>
    <t>Закрытое акционерное общество "Институт Радарной Метеорологии"</t>
  </si>
  <si>
    <t>620076, г.Екатеринбург, ул. Щербакова, 148</t>
  </si>
  <si>
    <t>620100, г.Екатеринбург, ул.Восточная, 33Б</t>
  </si>
  <si>
    <t>ОАО "218 АРЗ"</t>
  </si>
  <si>
    <t>620089, г.Екатеринбург, ул. Белинского д. 262 «М»</t>
  </si>
  <si>
    <t>Государственное научное учреждение Всероссийский научно-исследовательский институт рапса Российской академии сельскохозяйственных наук</t>
  </si>
  <si>
    <t>398037, г.Липецк, ул. Боевой проезд, 26</t>
  </si>
  <si>
    <t>Липецкая область</t>
  </si>
  <si>
    <t>ОАО "Новолипецкий металлургический комбинат" (НЛМК)</t>
  </si>
  <si>
    <t>398040, г. Липецк, пл. Металлургов, д.2</t>
  </si>
  <si>
    <t>Федеральное государственное бюджетное учреждение науки Северо-восточный комплексный научно-исследовательский институт им. Н.А. Шило Дальневосточного отделения РАН</t>
  </si>
  <si>
    <t>Государственное научное учреждение Магаданский научно-исследовательский институт сельского хозяйства  Российской академии сельскохозяйственных наук</t>
  </si>
  <si>
    <t>ОАО "Всероссийский научно-исследовательский и проектно-конструкторский институт по использованию энергии взрыва в геофизике" (ОАО "ВНИПИвзрывгеофизика")</t>
  </si>
  <si>
    <t>Федеральное государственное унитарное предприятие "Научно-исследовательский институт авиационного оборудования"</t>
  </si>
  <si>
    <t>Закрытое акционерное общество "Терна Полимер"</t>
  </si>
  <si>
    <t>Открытое акционерное общество "Ракетно-космическая корпорация "Энергия" имени С.П.Королева"</t>
  </si>
  <si>
    <t>Открытое акционерное общество "Научно-производственное предприятие "Исток" имени А.И. Шокина"</t>
  </si>
  <si>
    <t>Федеральное государственное унитарное предприятие "Научно-производственное объединение им. С.А.Лавочкина"</t>
  </si>
  <si>
    <t>Открытое акционерное общество «НПО Энергомаш имени академика В.П. Глушко»</t>
  </si>
  <si>
    <t>Открытое акционерное общество "Машиностроительный завод "ЗиО-Подольск"</t>
  </si>
  <si>
    <t>367003, г.Махачкала, М. Ярагского, 94</t>
  </si>
  <si>
    <t>367030, г.Махачкала, ул. М. Ярагского, 75</t>
  </si>
  <si>
    <t>ОАО "КБАЛ им.Л.Н. Кошкина"</t>
  </si>
  <si>
    <t>367014, г.Махачкала, пр-т Акушинского, Научный городок</t>
  </si>
  <si>
    <t>Закрытое акционерное общество "Нара"</t>
  </si>
  <si>
    <t>Государственное научное учреждение Всероссийский научно-исследовательский институт ирригационного рыбоводства Российской академии сельскохозяйственных наук (ФГБНУ ВНИИР)</t>
  </si>
  <si>
    <t>Федеральное государственное бюджетное учреждение науки Центр информационных технологий в проектировании РАН</t>
  </si>
  <si>
    <t>АНО ВПО "Сколковский институт науки и технологий"</t>
  </si>
  <si>
    <t>Государственное научное учреждение Московский научно-исследовательский институт сельского хозяйства "Немчиновка" Российской академии сельскохозяйственных наук</t>
  </si>
  <si>
    <t>ОАО "НФМЗ"</t>
  </si>
  <si>
    <t>Открытое акционерное общество "Красногорский завод имени С.А. Зверева"</t>
  </si>
  <si>
    <t>Государственное научное учреждение Научно-исследовательский институт детского питания  Российской академии сельскохозяйственных наук</t>
  </si>
  <si>
    <t>Открытое акционерное общество "Авиационная корпорация "Рубин"</t>
  </si>
  <si>
    <t>Филиал Открытого акционерного общества «СУАЛ «КАЗ-СУАЛ»</t>
  </si>
  <si>
    <t xml:space="preserve">184046, Мурманская область, г. Кандалакша, Кандалакшское шоссе, 1 </t>
  </si>
  <si>
    <t>Федеральное государственное бюджетное учреждение науки Институт экономических проблем им. Г.П. Лузина Кольского научного центра РАН</t>
  </si>
  <si>
    <t>184209, Мурманская обл., г.Апатиты, ул. Ферсмана, 24а</t>
  </si>
  <si>
    <t>Нижегородская область</t>
  </si>
  <si>
    <t>Закрытое акционерное общество "Торговый дом "Оргхим"</t>
  </si>
  <si>
    <t>603004, Нижний Новгород, проспект Ленина, 114-а</t>
  </si>
  <si>
    <t>603011, г. Нижний Новгород, Ленина просп., д. 2</t>
  </si>
  <si>
    <t xml:space="preserve">603137, г. Нижний Новгород, ул. Тропинина, 47 </t>
  </si>
  <si>
    <t>603950, г. Нижний Новгород, ул. Ветеринарная, 3</t>
  </si>
  <si>
    <t>Закрытое акционерное общество "Волгостальконструкция"</t>
  </si>
  <si>
    <t>603950, г. Нижний Новгород, проспект Ленина, д.88</t>
  </si>
  <si>
    <t>607067, Нижегородская обл., г. Выкса, ул.Бр.Баташевых, д. 45</t>
  </si>
  <si>
    <t>Федеральное государственное унитарное предприятие федеральный научно-производственный центр "Научно-исследовательский институт измерительных систем им.Ю.Е.Седакова"</t>
  </si>
  <si>
    <t>ООО "УК "Группа ГАЗ"</t>
  </si>
  <si>
    <t>Государственное научное учреждение Научно-исследовательский ветеринарный институт Нечерноземной зоны Российской Федерации Российской академии сельскохозяйственных наук</t>
  </si>
  <si>
    <t>ОАО "Выксунский металлургический завод"</t>
  </si>
  <si>
    <t>Общество с ограниченной ответственностью "Унискан"</t>
  </si>
  <si>
    <t>630007, г Новосибирск, Красный проспект, 14</t>
  </si>
  <si>
    <t>Новосибирская область</t>
  </si>
  <si>
    <t>Холдинговая компания "Новосибирский Электровакуумный Завод - Союз" в форме открытого акционерного общества (ХК ОАО "НЭВЗ-СОЮЗ")</t>
  </si>
  <si>
    <t>630049, г. Новосибирск, Красный проспект, 220</t>
  </si>
  <si>
    <t>630092, г. Новосибирск, просп. Карла Маркса, д. 20</t>
  </si>
  <si>
    <t>Федеральное государственное унитарное предприятие Производственное объединение "Север"</t>
  </si>
  <si>
    <t xml:space="preserve">630075, г. Новосибирск, ул. Объединения, 3 </t>
  </si>
  <si>
    <t>Федеральное государственное бюджетное учреждение науки Институт автоматики и электрометрии Сибирского отделения Российской академии наук</t>
  </si>
  <si>
    <t>630090, г.Новосибирск, пр-т акад. Лаврентьева, 15</t>
  </si>
  <si>
    <t>630090, г.Новосибирск, ул. Николаева, 8</t>
  </si>
  <si>
    <t>Федеральное государственное бюджетное учреждение науки Институт гидродинамики им. М.А. Лаврентьева Сибирского отделения РАН</t>
  </si>
  <si>
    <t>630501, Новосибирская область, Новосибирский район, р.п. Краснообск, а/я 8</t>
  </si>
  <si>
    <t>Федеральное государственное бюджетное учреждение науки Институт философии и права Сибирского отделения РАН</t>
  </si>
  <si>
    <t>630091, г.Новосибирск, Красный проспект, 54</t>
  </si>
  <si>
    <t>Федеральное государственное бюджетное учреждение науки Институт филологии Сибирского отделения РАН</t>
  </si>
  <si>
    <t>Федеральное государственное бюджетное учреждение науки институт горного дела им Н.А.Чинакала Сибирского отделения РАН (ИГД СО РАН)</t>
  </si>
  <si>
    <t>344090, г.Ростов-на-Дону, ул. Мильчакова, 7</t>
  </si>
  <si>
    <t>346780, Ростовская обл., г. Азов, ул. Промышленная, 5</t>
  </si>
  <si>
    <t>347360, Ростовская обл., г. Волгодонск, Жуковское шоссе, д.10</t>
  </si>
  <si>
    <t>Федеральное государственное бюджетное образовательное учреждение высшего профессионального образования "Новосибирский государственный технический университет"</t>
  </si>
  <si>
    <t>Государственное научное учреждение  Институт экспериментальной ветеринарии Сибири и Дальнего Востока Российской академии сельскохозяйственных наук</t>
  </si>
  <si>
    <t>Открытое акционерное общество "Высокие технологии"</t>
  </si>
  <si>
    <t>644007, г. Омск, ул. Герцена, 48</t>
  </si>
  <si>
    <t>Федеральное государственное бюджетное учреждение науки Институт проблем переработки углеводопродов Сибирского отделения РАН</t>
  </si>
  <si>
    <t>644040, г.Омск, ул. Нефтезаводская, 54</t>
  </si>
  <si>
    <t>Федеральное государственное бюджетное образовательное учреждение высшего профессионального образования "Омский государственный технический университет"</t>
  </si>
  <si>
    <t>644050, г.Омск, просп. Мира, д. 11</t>
  </si>
  <si>
    <t>Государственное научное учреждение Всероссийский научно-исследовательский институт зернобобовых и крупяных культур  Российской академии сельскохозяйственных наук</t>
  </si>
  <si>
    <t>302502, Орловская область, пос. Стрелецкий, ул.Молодежная, 10 корп 1</t>
  </si>
  <si>
    <t>Открытое акционерное общество "Научно-производственное предприятие "Рубин"</t>
  </si>
  <si>
    <t>Пензенская область</t>
  </si>
  <si>
    <t>Федеральное государственное бюджетное образовательное учреждение высшего профессионального образования "Пензенский государственный университет"</t>
  </si>
  <si>
    <t>Федеральное государственное бюджетное образовательное учреждение высшего профессионального образования "Пензенский государственный университет архитектуры и строительства"</t>
  </si>
  <si>
    <t>Открытое акционерное общество специального машиностроения и металлургии "Мотовилихинские заводы"</t>
  </si>
  <si>
    <t>Пермский край</t>
  </si>
  <si>
    <t>Закрытое акционерное общество "Новомет-Пермь"</t>
  </si>
  <si>
    <t>390025, г.Рязань, ул. Щорса, 38/11</t>
  </si>
  <si>
    <t>391110, Рязанская область, г. Рыбное, ул. Почтовая, 22</t>
  </si>
  <si>
    <t>Закрытое акционерное общество "ПРОГНОЗ"</t>
  </si>
  <si>
    <t>Открытое акционерное общество "Сорбент"</t>
  </si>
  <si>
    <t>Открытое акционерное общество "Пермская научно-производственная приборостроительная компания" (ОАО "ПНППК")</t>
  </si>
  <si>
    <t>450000, г. Уфа, Ленина, д. 3</t>
  </si>
  <si>
    <t>ОАО "СТАР"</t>
  </si>
  <si>
    <t>450062, г. Уфа, ул. Космонавтов, д. 1</t>
  </si>
  <si>
    <t>450001, г.Уфа, ул. Ст. Халтурина, 39</t>
  </si>
  <si>
    <t>ОАО "ПМЗ"</t>
  </si>
  <si>
    <t>450039, г. Уфа, ул. Сельская Богородская, д. 2</t>
  </si>
  <si>
    <t>Открытое акционерное общество «Протон-Пермские моторы»</t>
  </si>
  <si>
    <t>ОАО "Чусовский металлургический завод"</t>
  </si>
  <si>
    <t>452680, Республика Башкортостан, г. Нефтекамск, ул. Магистральная, 19</t>
  </si>
  <si>
    <t>453430, Республика Башкортостан, г.Благовещенск ул.Седова д. 1</t>
  </si>
  <si>
    <t>453500, Республика Башкортостан, г. Белорецк, ул.Блюхера, д. 1</t>
  </si>
  <si>
    <t>Федеральное государственное бюджетное учреждение науки Биолого-почвенный институт Дальневосточного отделения РАН</t>
  </si>
  <si>
    <t>Федеральное государственное бюджетное учреждение науки Институт автоматики и процессов управления Дальневосточного отделения РАН</t>
  </si>
  <si>
    <t>Открытое акционерное общество "Приморские лесопромышленники"</t>
  </si>
  <si>
    <t>Федеральное государственное бюджетное учреждение науки Институт проблем морских технологий ДВО РАН</t>
  </si>
  <si>
    <t>Федеральное государственное бюджетное учреждение науки Специальное конструкторское бюро средств автоматизации морских исследований Дальневосточного отделения Российской академии наук (СКБ САМИ ДВО РАН)</t>
  </si>
  <si>
    <t>Закрытое акционерное общество "ПСКОВЭЛЕКТРОСВАР"</t>
  </si>
  <si>
    <t>Псковская область</t>
  </si>
  <si>
    <t>454126, г.Челябинск, ул.Тернопольская, 6</t>
  </si>
  <si>
    <t>457020, Челябинская область, город Пласт, шахта «Центральная»</t>
  </si>
  <si>
    <t>Федеральное государственное бюджетное учреждение науки Институт проблем сверхпластичности металлов РАН</t>
  </si>
  <si>
    <t>Общество с ограниченной ответственностью Научно-производственное предприятие "Технофильтр"</t>
  </si>
  <si>
    <t>456830, Челябинская обл., г. Касли, ул. Советская, 28</t>
  </si>
  <si>
    <t>ОАО "НПП "Мотор"</t>
  </si>
  <si>
    <t>456300, Челябинская область, г. Миасс, Тургоякское ш. 1</t>
  </si>
  <si>
    <t>ОАО "Благовещенский арматурный завод"</t>
  </si>
  <si>
    <t>455002, г.Магнитогорск, ул. Метизников, 5</t>
  </si>
  <si>
    <t>ОАО "БМК"</t>
  </si>
  <si>
    <t>Государственное научное учреждение Бурятский научно-исследовательский институт сельского хозяйства Российской академии сельскохозяйственных наук</t>
  </si>
  <si>
    <t>670045, г.Улан-Уде, ул. Третьякова, 25 з</t>
  </si>
  <si>
    <t>Федеральное государственное бюджетное учреждение науки Геологический институт Сибирского отделения РАН</t>
  </si>
  <si>
    <t>670047, г.Улан-Уде, ул. Сахъяновой, 6а</t>
  </si>
  <si>
    <t>214019, г. Смоленск, ул. Крупской, д. 28</t>
  </si>
  <si>
    <t>Федеральное государственное бюджетное учреждение науки Институт физики им. Х.И. Амирханова Дагестанского научного центра РАН</t>
  </si>
  <si>
    <t>214025, г.Смоленск, ул. Нахимова, 21</t>
  </si>
  <si>
    <t>Государственное научное учреждение Дагестанский научно-исследовательский институт сельского хозяйства Российской академии сельскохозяйственных наук</t>
  </si>
  <si>
    <t>Федеральное государственное бюджетное учреждение науки Институт социально-экономических исследований Дагестанского научного центра РАН</t>
  </si>
  <si>
    <t>Открытое акционерное общество "Петрозаводскмаш"</t>
  </si>
  <si>
    <t>185031, Республика Карелия, г. Петрозаводск, ул.Зайцева, 65</t>
  </si>
  <si>
    <t>Федеральное государственное бюджетное учреждение науки Институт геологии Карельского научного центра РАН</t>
  </si>
  <si>
    <t>185910, г.Петрозаводск, ул. Пушкинская, 11</t>
  </si>
  <si>
    <t>300012, г. Тула, проспект Ленина, д. 92</t>
  </si>
  <si>
    <t>ОАО "Боксит Тимана"</t>
  </si>
  <si>
    <t>295007, г.Симферополь, пр. Академика Вернадского, д.4</t>
  </si>
  <si>
    <t>Республика Крым</t>
  </si>
  <si>
    <t>Открытое акционерное общество "Электровыпрямитель"</t>
  </si>
  <si>
    <t>430001, г. Саранск, ул. Пролетарская, д. 126</t>
  </si>
  <si>
    <t>430005, г. Саранск, ул. Большевистская, д. 68</t>
  </si>
  <si>
    <t>431446, Республика Мордовия, г. Рузаевка-6</t>
  </si>
  <si>
    <t>Республика Саха (Якутия)</t>
  </si>
  <si>
    <t>677001, Республика Саха (Якутия), ул. Бестужева-Марлинского, 23, корп 1</t>
  </si>
  <si>
    <t>678170, Республика Саха (Якутия), г. Мирный, ул.Ленина, д. 6</t>
  </si>
  <si>
    <t>Федеральное государственное бюджетное учреждение науки Институт космофизических исследований и аэрономии им. Ю.Г. Шафера Сибирского отделения РАН</t>
  </si>
  <si>
    <t>677980, Республика Саха (Якутия), г.Якутск, просп.Ленина, 31</t>
  </si>
  <si>
    <t>677980, Республика Саха (Якутия), г.Якутск, ул.Мерзлотная, 36</t>
  </si>
  <si>
    <t>Федеральное государственное бюджетное учреждение науки Институт мерзлотоведения им. П.И. Мельникова СО РАН</t>
  </si>
  <si>
    <t>678960, Республика Саха (Якутия), г. Нерюнгри, ул.Ленина, д. 3, корп. 1</t>
  </si>
  <si>
    <t>Акционерная компании "АЛРОСА" (Закрытое акционерное общество)</t>
  </si>
  <si>
    <t>ОАО "Якутуголь"</t>
  </si>
  <si>
    <t>Открытое акционерное общество "Вакууммаш"</t>
  </si>
  <si>
    <t>Общество с ограниченной ответственностью «Булгар-Синтез»</t>
  </si>
  <si>
    <t>Открытое акционерное общество "Казанский вертолетный завод"</t>
  </si>
  <si>
    <t>Общество с ограниченной ответственностью "Научно-производственное предприятие "Тасма"</t>
  </si>
  <si>
    <t>Общество с ограниченной ответственностью "ПРОИЗВОДСТВЕННО-ТЕХНИЧЕСКОЕ ОБЪЕДИНЕНИЕ "МЕДТЕХНИКА"</t>
  </si>
  <si>
    <t>Группа компаний "ЭЙДОС"</t>
  </si>
  <si>
    <t>ООО "ЭЙДОС-Медицина"</t>
  </si>
  <si>
    <t>ООО "ЭЙДОС-Инновации"</t>
  </si>
  <si>
    <t>ООО "ЭЙДОС-Робототехника"</t>
  </si>
  <si>
    <t>393773, Тамбовская обл., г. Мичуринск, Липецкое шоссе, 113</t>
  </si>
  <si>
    <t>429520, Чувашская Республика, с. Ишлеи, ул.Советская, 53</t>
  </si>
  <si>
    <t>428000, Чебоксары, пр-т И. Яковлева, д. 5</t>
  </si>
  <si>
    <t>ОАО "Альметьевский трубный завод"</t>
  </si>
  <si>
    <t>ОАО "Ижсталь"</t>
  </si>
  <si>
    <t>426006, Республика Удмуртия, г. Ижевск, ул.Новоажимова, д.6</t>
  </si>
  <si>
    <t>ОАО "НИТИ "Прогресс"</t>
  </si>
  <si>
    <t>ОАО "Ижевский механический завод"</t>
  </si>
  <si>
    <t>Федеральное государственное бюджетное образовательное учреждение высшего профессионального образования "Ижевский государственный технический университет имени М.Т.Калашникова"</t>
  </si>
  <si>
    <t>ОАО "РУСАЛ Саяногорск"</t>
  </si>
  <si>
    <t>655600, Республика Хакасия, г.Саяногорск, Промплощадка</t>
  </si>
  <si>
    <t>Общество с ограниченной ответственностью "Ишлейский завод высоковольтной аппаратуры"</t>
  </si>
  <si>
    <t>Ростовская область</t>
  </si>
  <si>
    <t>Открытое акционерное общество "Научно-производственное предприятие космического приборостроения "КВАНТ"</t>
  </si>
  <si>
    <t>Открытое акционерное общество "Азовский оптико-механический завод"</t>
  </si>
  <si>
    <t>Закрытое акционерное общество "Инжиниринговая компания "АЭМ-технологии"</t>
  </si>
  <si>
    <t>Государственное научное учреждение Всероссийский научно-исследовательский институт механизации агрохимического обеспечения сельского хозяйства  Российской академии сельскохозяйственных наук (ФГБНУ ВНИМС)</t>
  </si>
  <si>
    <t>Рязанская область</t>
  </si>
  <si>
    <t>Государственное научное учреждение Научно-исследовательский институт пчеловодства Российской академии сельскохозяйственных наук</t>
  </si>
  <si>
    <t>Открытое акционерное общество "КУЗНЕЦОВ"</t>
  </si>
  <si>
    <t>Самарская область</t>
  </si>
  <si>
    <t>Саратовская область</t>
  </si>
  <si>
    <t>Свердловская область</t>
  </si>
  <si>
    <t xml:space="preserve">634034, г.Томск, ул.Красноармейская, 99-а </t>
  </si>
  <si>
    <t>Закрытое акционерное общество "Нау-сервис"</t>
  </si>
  <si>
    <t>Федеральное государственное бюджетное учреждение науки Институт металлургии Уральского отделения РАН</t>
  </si>
  <si>
    <t>Федеральное государственное бюджетное учреждение науки Научно-инженерный центр "Надежность и ресурс больших систем и машин" Уральского отделения РАН</t>
  </si>
  <si>
    <t>634055, г.Томск, Академический пр-кт, 10/3</t>
  </si>
  <si>
    <t>634055, г.Томск, Академический пр-кт, 2/3</t>
  </si>
  <si>
    <t>Федеральное государственное унитарное предприятие "Научно-производственное объединение автоматики имени академика Н.А.Семихатова"</t>
  </si>
  <si>
    <t>634055, г.Томск, Академический пр-кт, 2/4</t>
  </si>
  <si>
    <t>Государственное научное учреждение Свердловская селекционная станция садоводства Всероссийского селекционно-технологического института садоводства и питомниководства  Российской академии сельскохозяйственных наук</t>
  </si>
  <si>
    <t>634063, г.Томск, ул. С. Лазо, 5</t>
  </si>
  <si>
    <t>ОАО "УЗГА"</t>
  </si>
  <si>
    <t>ОАО "РТ-Швабе"</t>
  </si>
  <si>
    <t>Открытое акционерное общество "Производственное объединение "Уральский оптико-механический завод" имени Э.С. Яламова</t>
  </si>
  <si>
    <t>Федеральное государственное бюджетное учреждение науки Институт экологии растений и животных Уральского отделения РАН</t>
  </si>
  <si>
    <t>федеральное государственное бюджетное образовательное учреждение высшего профессионального образования "Уральский государственный горный университет"</t>
  </si>
  <si>
    <t>Федеральное государственное бюджетное учреждение науки Институт высокотемпературной электрохимии Уральского отделения РАН (ИВТЭ УрО РАН)</t>
  </si>
  <si>
    <t>Федеральное государственное бюджетное учреждение науки философии и права Уральского отделения РАН</t>
  </si>
  <si>
    <t>Филиал ОАО "СУАЛ "УАЗ-СУАЛ"</t>
  </si>
  <si>
    <t>Общество с ограниченной ответственностью "Научно-производственное объединение "Экспериментальный завод"</t>
  </si>
  <si>
    <t>623750, Свердловская область, г. Реж, ул. Объездная, 3</t>
  </si>
  <si>
    <t>ОАО "ААРЗ"</t>
  </si>
  <si>
    <t>Филиал ОАО "СУАЛ "БАЗ-СУАЛ"</t>
  </si>
  <si>
    <t>ОАО "Севуралбокситруда" (СУБР)</t>
  </si>
  <si>
    <t>Государственное бюджетное образовательное учреждение высшего профессионального образования «Смоленская государственная медицинская академия»</t>
  </si>
  <si>
    <t>Смоленская область</t>
  </si>
  <si>
    <t>Государственное научное учреждение Смоленский научно-исследовательский институт сельского хозяйства Российской академии сельскохозяйственных наук</t>
  </si>
  <si>
    <t>Федеральное государственное бюджетное учреждение науки Коми научный центр Уральского отделения РАН</t>
  </si>
  <si>
    <t>Открытое акционерное общество "Мичуринский завод "Прогресс"</t>
  </si>
  <si>
    <t>Общество с ограниченной ответственностью "Томлесдрев"</t>
  </si>
  <si>
    <t>634024, г.Томск, п ЛПК 2-й, д 109/3, оф 43</t>
  </si>
  <si>
    <t>Открытое акционерное общество "Научно-исследовательский институт полупроводниковых приборов"</t>
  </si>
  <si>
    <t>Закрытое акционерное общество "Научно-производственная фирма "Микран"</t>
  </si>
  <si>
    <t>634045, г.Томск, ул. Вершинина, 47</t>
  </si>
  <si>
    <t>Федеральное государственное бюджетное учреждение науки Институт мониторинга климатических и экологических систем Сибирского отделения РАН (ИМКЭС СО РАН)</t>
  </si>
  <si>
    <t>Федеральное государственное бюджетное учреждение науки Институт сильноточной электроники Сибирского отделения РАН</t>
  </si>
  <si>
    <t>Федеральное государственное бюджетное учреждение науки Институт физики прочности и материаловедения Сибирского отделения РАН</t>
  </si>
  <si>
    <t>Федеральное государственное бюджетное учреждение Научно-исследовательский институт акушерства, гинекологии и перинатологии" Сибирского отделения РАМН</t>
  </si>
  <si>
    <t>Тульская область</t>
  </si>
  <si>
    <t>Федеральное государственное бюджетное образовательное учреждение высшего профессионального образования "Тульский государственный университет"</t>
  </si>
  <si>
    <t>Тюменская область</t>
  </si>
  <si>
    <t>Общество с ограниченной ответственностью "Диатомовый комбинат"</t>
  </si>
  <si>
    <t>Общество с ограниченной ответственностью "Авиакомпания Волга-Днепр"</t>
  </si>
  <si>
    <t>Федеральное государственное бюджетное учреждение науки Институт водных и экологических проблем Дальневосточного отделения РАН</t>
  </si>
  <si>
    <t>Открытое акционерное общество "Специальное конструкторское бюро "Турбина"</t>
  </si>
  <si>
    <t>454007, г.Челябинск, пр. Ленина, д. 2 б</t>
  </si>
  <si>
    <t>ОАО "712 АРЗ"</t>
  </si>
  <si>
    <t>454015, г.Челябинск – 15</t>
  </si>
  <si>
    <t>ОАО "ЧМК"</t>
  </si>
  <si>
    <t>454047, г.Челябинск, ул. 2-я Павелецкая, д. 14</t>
  </si>
  <si>
    <t>Открытое акционерное общество "Челябинский радиозавод "Полет"</t>
  </si>
  <si>
    <t>Федеральное государственное унитарное предприятие "Завод "Прибор"</t>
  </si>
  <si>
    <t>454138, г.Челябинск, Комсомольский проспект, 29</t>
  </si>
  <si>
    <t>ОАО "Трубодеталь"</t>
  </si>
  <si>
    <t>454904, г.Челябинск, ул. Челябинская, 23</t>
  </si>
  <si>
    <t>Открытое акционерное общество "Магнитогорский метизно-калибровочный завод "ММК-МЕТИЗ"</t>
  </si>
  <si>
    <t>Открытое акционерное общество «Государственный ракетный центр имени В.П. Макеева»</t>
  </si>
  <si>
    <t>Открытое акционерное общество "Радий"</t>
  </si>
  <si>
    <t>Открытое акционерное общество "Южуралзолото Группа Компаний"</t>
  </si>
  <si>
    <t>Ремонтно-строительная фирма "Арэн-Стройцентр" Общество с ограниченной ответственностью</t>
  </si>
  <si>
    <t>366501, Чеченская Республика, Урус-Мартановский р-н, Алхан-Юрт с., Чехова ул., д. 30</t>
  </si>
  <si>
    <t>Федеральное государственное бюджетное учреждение науки Институт программных систем им. А.К. Айламазяна РАН</t>
  </si>
  <si>
    <t>Открытое акционерное общество "Научно-производственное объединение "Сатурн"</t>
  </si>
  <si>
    <t>ОАО "ОДК-Газовые турбины"</t>
  </si>
  <si>
    <t>Федеральное государственное бюджетное образовательное учреждение высшего профессионального образования "Рыбинский государственный авиационный технический университет имени П.А. Соловьева"</t>
  </si>
  <si>
    <t>ЗАО "Фармославль"</t>
  </si>
  <si>
    <t>Список организаций-работодателей в Дальневосточном федеральном округе</t>
  </si>
  <si>
    <t>Список организаций-работодателей в Приволжском федеральном округе</t>
  </si>
  <si>
    <t>610000, г. Киров, Московская ул., 36</t>
  </si>
  <si>
    <t>Образование</t>
  </si>
  <si>
    <t>Список организаций-работодателей в Северо-Западном федеральном округе</t>
  </si>
  <si>
    <t>614065, г.Пермь, шоссе Космонавтов, д. 395</t>
  </si>
  <si>
    <t>Федеральное государственное бюджетное образовательное учреждение высшего профессионального образования "Уфимский государственный нефтяной технический университет"</t>
  </si>
  <si>
    <t>Общество с ограниченной ответственностью "Нефтекамский машиностроительный завод"</t>
  </si>
  <si>
    <t>Открытое акционерное общество "Рузаевский завод химического машиностроения" (Рузхиммаш)</t>
  </si>
  <si>
    <t>Публичное акционерное общество "Нижнекамскнефтехим"</t>
  </si>
  <si>
    <t xml:space="preserve">ОАО "Генерирующая компания" </t>
  </si>
  <si>
    <t>420021, г.Казань, ул.М.Салимжанова, д.1</t>
  </si>
  <si>
    <t>Открытое акционерное общество «Ракетно-Космический Центр - «Прогресс»</t>
  </si>
  <si>
    <t>Открытое акционерное общество "Чепецкий механический завод" (ЧМЗ)</t>
  </si>
  <si>
    <t>427622, Удмуртская респ., г.Глазов, Белова ул. 7</t>
  </si>
  <si>
    <t>Открытое акционерное общество "Элеконд"</t>
  </si>
  <si>
    <t>432072, г.Ульяновск, ул. Карбышева, 14</t>
  </si>
  <si>
    <t>Чувашская республика</t>
  </si>
  <si>
    <t>Закрытое акционерное общество "Чебоксарский электроаппаратный завод" (ЧЭАЗ)</t>
  </si>
  <si>
    <t>Список организаций-работодателей в Северо-Кавказском федеральном округе</t>
  </si>
  <si>
    <t>Список организаций-работодателей в Сибирском федеральном округе</t>
  </si>
  <si>
    <t>Список организаций-работодателей в Уральском федеральном округе</t>
  </si>
  <si>
    <t>Список организаций-работодателей по программе "Глобальное образование" в Центральном федеральном округе</t>
  </si>
  <si>
    <t xml:space="preserve">Сфера </t>
  </si>
  <si>
    <t>URL на ресурсе HH</t>
  </si>
  <si>
    <t>Инженерия</t>
  </si>
  <si>
    <t>Государственное научное учреждение Всероссийский научно-исследовательский институт ветеринарной вирусологии и микробиологии Российской академии сельскохозяйственных наук (ГНУ ВНИИВВиМ Россельхозакадемии)</t>
  </si>
  <si>
    <t>Наука</t>
  </si>
  <si>
    <t>601125, Владимирская область, Петушинский район, пос.Вольгинский, ул. Академика Бакулова, стр.1</t>
  </si>
  <si>
    <t>Управление с соц.сфере</t>
  </si>
  <si>
    <t>Федеральное государственное бюджетное образовательное учреждение высшего профессионального образования "Московский государственный машиностроительный университет (МАМИ)" (Университет машиностроения)</t>
  </si>
  <si>
    <t>107023, г.Москва, ул.Большая Семеновская, д.38</t>
  </si>
  <si>
    <t>Открытое акционерное общество «Научно-производственная корпорация «Космические системы мониторинга, информационно-управляющие и электромеханические комплексы» имени А.Г. Иосифьяна
(ОАО Корпорация «ВНИИЭМ»)</t>
  </si>
  <si>
    <t>Федеральное государственное бюджетное образовательное учреждение высшего профессионального образования "Московский государственный университет приборостроения и информатики" (МГУПИ)</t>
  </si>
  <si>
    <t>Список организаций-работодателей в Южном федеральном округе</t>
  </si>
  <si>
    <t>Медицина</t>
  </si>
  <si>
    <t>федеральное государственное бюджетное образовательное учреждение высшего профессионального образования "Российский университет дружбы народов" (РУДН)</t>
  </si>
  <si>
    <t>Федеральное государственное унитарное предприятие "Научно-производственное предприятие "Гамма"</t>
  </si>
  <si>
    <t>Федеральное государственное бюджетное образовательное учреждение высшего профессионального образования "Российский экономический университет имени Г.В. Плеханова"</t>
  </si>
  <si>
    <t>Федеральное государственное бюджетное образовательное учреждение высшего профессионального образования "МАТИ - Российский государственный технологический университет имени К.Э. Циолковского"</t>
  </si>
  <si>
    <t>Федеральное государственное бюджетное образовательное учреждение высшего профессионального образования "Московский автомобильно-дорожный государственный технический университет (МАДИ)"</t>
  </si>
  <si>
    <t>Федеральное государственное бюджетное учреждение науки Институт проблем технологии микроэлектроники и особочистных материалов РАН</t>
  </si>
  <si>
    <t>URL организации</t>
  </si>
  <si>
    <t>Сфера</t>
  </si>
  <si>
    <t>Федеральное государственное бюджетное образовательное учреждение высшего образования «Северный государственный медицинский университет» Министерства здравоохранения Российской Федерации</t>
  </si>
  <si>
    <t>308015, г. Белгород, ул. Победы, д.85</t>
  </si>
  <si>
    <t>Федеральное государственное автономное образовательное учреждение высшего образования «Северный (арктический) федеральный университет имени М.В. Ломоносова»</t>
  </si>
  <si>
    <t>163002,г. Архангельск, набережная Северной Двины, д.17</t>
  </si>
  <si>
    <t>http://narfu.ru/university/jobs/annonces/</t>
  </si>
  <si>
    <t>Акционерное общество «Северное производственное объединение «Арктика»</t>
  </si>
  <si>
    <t>164500, г. Северодвинск, Архангельское шоссе, д.34</t>
  </si>
  <si>
    <t>Акционерное общество «Производственное объединение «Северное машиностроительное предприятие»</t>
  </si>
  <si>
    <t>164500, г. Северодвинск, Архангельское шоссе, д.58</t>
  </si>
  <si>
    <t>Акционерное общество «Центр судоремонта «Звездочка»</t>
  </si>
  <si>
    <t>164509, г. Северодвинск, проезд Машиностроителей, д.12</t>
  </si>
  <si>
    <t>https://www.star.ru/Personal/Vakansii</t>
  </si>
  <si>
    <t>Акционерное общество «Научно-исследовательское проектно-технологическое бюро «Онега»</t>
  </si>
  <si>
    <t>164509,  г. Северодвинск, проезд Машиностроителей, д.12</t>
  </si>
  <si>
    <t>Федеральное государственное бюджетное образовательное учреждение высшпего образования "Вологодский государственный университет" (ВоГУ)</t>
  </si>
  <si>
    <t>160000, г. Вологда, ул. Ленина, д.15</t>
  </si>
  <si>
    <t>Вологодская область</t>
  </si>
  <si>
    <t>Открытое акционерное общество «Эфирное»</t>
  </si>
  <si>
    <t>http://ok.vstu.edu.ru/konkurs-vybory/konkurs-na-zameshchenie-dolzhnostej</t>
  </si>
  <si>
    <t>Федеральное государственное бюджетное учреждение культуры «Государственный академический Мариинский театр»</t>
  </si>
  <si>
    <t>Управление  в социальной сфере</t>
  </si>
  <si>
    <t>190000, г. Санкт-Петербург, Театральная площадь, д.1</t>
  </si>
  <si>
    <t>Акционерное общество "Корпорация "Развитие" (АО "Корпорация "Развитие")</t>
  </si>
  <si>
    <t>Федеральное государственное автономное образовательное учреждение высшего образования «Санкт-Петербургский государственный университет аэрокосмического приборостроения»</t>
  </si>
  <si>
    <t>190000, г. Санкт-Петербург, ул. Большая Морская, д.67, лит. А</t>
  </si>
  <si>
    <t>Управление в социальной сфере</t>
  </si>
  <si>
    <t>308015, г.Белгород, ул.Победы, д.85, корп.17</t>
  </si>
  <si>
    <t>https://belgorod.hh.ru/employer/871524</t>
  </si>
  <si>
    <t>Федеральное государственное бюджетное образовательное учреждение высшего образования «Петербургский государственный университет путей сообщения Императора Александра I»</t>
  </si>
  <si>
    <t>190031, г. Санкт-Петербург, Московский проспект, д.9</t>
  </si>
  <si>
    <t>https://vladimir.hh.ru/employer/2551607</t>
  </si>
  <si>
    <t>Федеральное казенное предприятие «Государственный лазерный полигон «Радуга»</t>
  </si>
  <si>
    <t>600910,  г. Радужный, а/я 771</t>
  </si>
  <si>
    <t>сайт не работатет</t>
  </si>
  <si>
    <t>Акционерное общество «Адмиралтейские верфи»</t>
  </si>
  <si>
    <t>190121, г. Санкт-Петербург, набережная реки Фонтанки, д.203</t>
  </si>
  <si>
    <t>Федеральное государственное бюджетное образовательное учреждение высшего образования «Северо-Западный государственный медицинский университет им. И.И. Мечникова» Министерства здравоохранения Российской федерации</t>
  </si>
  <si>
    <t>191015, г. Санкт-Петербург, ул. Кирочная ул., д.41</t>
  </si>
  <si>
    <t>Федеральное государственное бюджетное образовательное учреждение высшего образования «Воронежский государственный университет»</t>
  </si>
  <si>
    <t>394006, г. Воронеж, Университетская площадь, д.1</t>
  </si>
  <si>
    <t>Федеральное государственное бюджетное учреждение «Российская национальная библиотека»</t>
  </si>
  <si>
    <t>191069, г. Санкт-Петербург, ул. Садовая, д.18</t>
  </si>
  <si>
    <t>Акционерное общество «Объединенная судостроительная корпорация»</t>
  </si>
  <si>
    <t>191119, г. Санкт-Петербург, ул. Марата, д.90</t>
  </si>
  <si>
    <t>Публичное акционерное общество «Воронежское акционерное самолетостроительное общество»</t>
  </si>
  <si>
    <t>394029, г. Воронеж, ул. Циолковского, д.27</t>
  </si>
  <si>
    <t>Акционерное общество «Центральное конструкторское бюро морской техники «Рубин»</t>
  </si>
  <si>
    <t>Общество с ограниченной ответственностью «Воронежсельмаш»</t>
  </si>
  <si>
    <t>394030,  г. Воронеж, ул. 9 Января, д.68, офис 1</t>
  </si>
  <si>
    <t>Публичное акционерное общество «Пролетарский завод»</t>
  </si>
  <si>
    <t>192029, г. Санкт-Петербург, ул. Дудко, д.3</t>
  </si>
  <si>
    <t>Федеральное государственное бюджетное образовательное учреждение высшего образования «Воронежский государственный медицинский университет имени Н.Н. Бурденко» Министерства здравоохранения Российской Федерации</t>
  </si>
  <si>
    <t>394036, Воронежская область, г. Воронеж, ул. Студенческая, д.10</t>
  </si>
  <si>
    <t>Федеральное государственное бюджетное образовательное учреждение высшего образования «Санкт-Петербургский государственный институт кино и телевидения»</t>
  </si>
  <si>
    <t>192102, г. Санкт-Петербург, ул. Бухарестская, д.22</t>
  </si>
  <si>
    <t>"Агентство инноваций и развития экономических и социальных проектов" (ОКУ "АИР")</t>
  </si>
  <si>
    <t>194021, г. Санкт-Петербург, ул. Политехническая, д.26</t>
  </si>
  <si>
    <t>394018, г. Воронеж, ул. Куцыгина, д. 17, 3-й этаж</t>
  </si>
  <si>
    <t>г.Воронеж</t>
  </si>
  <si>
    <t>Федеральное государственное бюджетное учреждение высшего образования и науки «Санкт-Петербургский национальный исследовательский Академический университет Российской академии наук»</t>
  </si>
  <si>
    <t>194021, г. Санкт-Петербург, ул. Хлопина, д.8, корпус 3, лит. А</t>
  </si>
  <si>
    <t>http://www.innoros.ru/about/career</t>
  </si>
  <si>
    <t>https://voronezh.hh.ru/employer/631785</t>
  </si>
  <si>
    <t>Участники проекта инновационного центра «Сколково»</t>
  </si>
  <si>
    <t>143026, г. Москва, Территория инновационного центра Сколково, ул. Луговая, д. 4</t>
  </si>
  <si>
    <t>https://voronezh.hh.ru/employer/921957</t>
  </si>
  <si>
    <t xml:space="preserve">Общество с ограниченной ответственностью 
«ТЕЛЕМЕД.РУ»
</t>
  </si>
  <si>
    <t>115054, г. Москва, ул. Бахрушина, д. 13</t>
  </si>
  <si>
    <t>Федеральное государственное бюджетное образовательное учреждение высшего образования «Санкт-Петербургский государственный педиатрический медицинский университет» Министерства здравоохранения Российской Федерации</t>
  </si>
  <si>
    <t>194100, г. Санкт-Петербург, ул. Литовская, д.2</t>
  </si>
  <si>
    <t>Закрытое акционерное общество «Светлана-Оптоэлектроника»</t>
  </si>
  <si>
    <t>194156, г. Санкт-Петербург, проспект Энгельса, д.27</t>
  </si>
  <si>
    <t>Федеральное государственное автономное образовательное учреждение высшего профессионального образования «Национальный исследовательский университет «Высшая школа экономики»</t>
  </si>
  <si>
    <t>Публичное акционерное общество «Объединенная авиастроительная корпорация»</t>
  </si>
  <si>
    <t>101000, г. Москва, Уланский переулок, д.22, стр.1</t>
  </si>
  <si>
    <t>Федеральное государственное автономное образовательное учреждение высшего образования «Санкт-Петербургский политехнический университет Петра Великого»</t>
  </si>
  <si>
    <t>195251, г. Санкт-Петербург, ул. Политехническая, д.29</t>
  </si>
  <si>
    <t xml:space="preserve">Федеральное государственное бюджетное образовательное учреждение высшего образования «Алтайский государственный медицинский университет» Министерства здравоохранения Российской Федерации </t>
  </si>
  <si>
    <t xml:space="preserve">Федеральное государственное бюджетное образовательное учреждение высшего образования «Московский государственный технический университет имени 
Н.Э. Баумана (национальный исследовательский университет)»
</t>
  </si>
  <si>
    <t>105005, г. Москва, ул. 2-я Бауманская, д.5, стр.1</t>
  </si>
  <si>
    <t>Публичное акционерное общество «Туполев»</t>
  </si>
  <si>
    <t>105005, г. Москва, Набережная Академика Туполева, д.17</t>
  </si>
  <si>
    <t>Акционерное общество «Санкт-Петербургское морское бюро машиностроения «Малахит»</t>
  </si>
  <si>
    <t>196135, г. Санкт-Петербург, ул. Фрунзе, д.18</t>
  </si>
  <si>
    <t>Федеральное государственное бюджетное образовательное учреждение высшего образования «Забайкальский государственный университет»</t>
  </si>
  <si>
    <t>Федеральное государственное бюджетное образовательное учреждение высшего образования «Читинская государственная медицинская академия» Министерства здравоохранения Российской Федерации</t>
  </si>
  <si>
    <t>Федеральное государственное унитарное предприятие «Всероссийский научно-исследовательский институт авиационных материалов»</t>
  </si>
  <si>
    <t>Публичное акционерное общество «Приаргунское производственное горно-химическое объединение»</t>
  </si>
  <si>
    <t>Акционерное общество «Объединенная двигателестроительная корпорация»</t>
  </si>
  <si>
    <t>105118, г. Москва, проспект Буденного, д.16</t>
  </si>
  <si>
    <t>http://www.uecrus.com/rus/career/vacancy/</t>
  </si>
  <si>
    <t xml:space="preserve">
Федеральное государственное бюджетное учреждение науки Институт природных ресурсов, экологии и криологии Сибирского отделения Российской академии наук (ИПРЭК СО РАН)</t>
  </si>
  <si>
    <t xml:space="preserve">
672014, Забайкальский край, г.Чита, ул. Недорезова, д.16, корп.А</t>
  </si>
  <si>
    <t>http://inrec.sbras.ru</t>
  </si>
  <si>
    <t>Федеральное государственное автономное образовательное учреждение высшего образования «Санкт-Петербургский национальный исследовательский университет информационных технологий, механики и оптики»</t>
  </si>
  <si>
    <t>197101, г. Санкт-Петербург, Кронверкский проспект, д.49</t>
  </si>
  <si>
    <t>Федеральное государственное бюджетное учреждение «Северо-Западный федеральный медицинский исследовательский центр имени В. А. Алмазова» Министерства здравоохранения Российской Федерации</t>
  </si>
  <si>
    <t>197341, г. Санкт-Петербург, ул. Аккуратова, д.2</t>
  </si>
  <si>
    <t>Федеральное государственное бюджетное образовательное учреждение высшего образования «Санкт-Петербургская государственная химико-фармацевтическая академия» Министерства здравоохранения Российской Федерации</t>
  </si>
  <si>
    <t>197376, г. Санкт-Петербург, ул. Профессора Попова, д.14, литера А</t>
  </si>
  <si>
    <t>Акционерное общество «Научно-производственное объединение «Базальт»</t>
  </si>
  <si>
    <t xml:space="preserve">105318, г. Москва, ул. Вельяминовская, 32
</t>
  </si>
  <si>
    <t>Федеральное государственное бюджетное учреждение науки "Сибирский институт физиологии и биохимии растений Сибирского отделения РАН" (СИФИБР СО РАН)</t>
  </si>
  <si>
    <t>664033, г.Иркутск, ул.Лермонтова, 132</t>
  </si>
  <si>
    <t>Федеральное государственное бюджетное образовательное учреждение высшего образования «Иркутский национальный исследовательский технический университет»</t>
  </si>
  <si>
    <t>Федеральное государственное бюджетное научно-исследовательское учреждение «Государственный научно-исследовательский институт реставрации»</t>
  </si>
  <si>
    <t xml:space="preserve">107014, г. Москва, ул. Гастелло, д. 44, корпус 1
</t>
  </si>
  <si>
    <t>Иркутская государственная медицинская академия последипломного образования – Филиал Федерального государственного бюджетного образовательного учреждения дополнительного профессионального образования «Российская медицинская академия непрерывного профессионального образования» Министерства здравоохранения Российской Федерации</t>
  </si>
  <si>
    <t>http://wniikp.ru</t>
  </si>
  <si>
    <t>Федеральное государственное бюджетное учреждение «Научно-исследовательский институт гриппа» Министерства здравоохранения Российской Федерации</t>
  </si>
  <si>
    <t>http://mospolytech.ru/search_new.php?text=%E2%E0%EA%E0%ED%F1%E8%E8</t>
  </si>
  <si>
    <t>Федеральное государственное бюджетное учреждение «Государственный научный центр дерматовенерологии и косметологии» Министерства здравоохранения Российской Федерации"</t>
  </si>
  <si>
    <t xml:space="preserve">107076, г. Москва, ул. Короленко, д.3, стр.6
</t>
  </si>
  <si>
    <t>http://gturp.spb.ru/</t>
  </si>
  <si>
    <t>Акционерное общество «Северное проектно-конструкторское бюро»</t>
  </si>
  <si>
    <t>198096, г. Санкт-Петербург, ул. Корабельная, д.6, к.2, литера А</t>
  </si>
  <si>
    <t xml:space="preserve">
Федеральное государственное бюджетное учреждение науки Лимнологический институт Сибирского отделения Российской академии наук (ЛИН СО РАН)</t>
  </si>
  <si>
    <t xml:space="preserve">
664033, Иркутская область, г. Иркутск, ул. Улан-Баторская, д.3</t>
  </si>
  <si>
    <t>http://www.lin.irk.ru/vacancies</t>
  </si>
  <si>
    <t>198412,  г.Ломоносов, ул. Черникова, 48</t>
  </si>
  <si>
    <t xml:space="preserve">Акционерное общество "Фармасинтез" </t>
  </si>
  <si>
    <t>664007, г.Иркутск, ул. Красногвардейская, д. 23, оф.3</t>
  </si>
  <si>
    <t>http://www.pharmasyntez.com/about</t>
  </si>
  <si>
    <t>Закрытое акционерное общество «БИОКАД»</t>
  </si>
  <si>
    <t>198515, г. Санкт-Петербург, поселок Стрельна, ул. Связи, д.34, лит. А</t>
  </si>
  <si>
    <t>https://hh.ru/employer/829326</t>
  </si>
  <si>
    <t>Публичное акционерное общество «Центральное конструкторское бюро «Айсберг»</t>
  </si>
  <si>
    <t>199034, г. Санкт-Петербург, проспект Большой Васильевский остров, д.36</t>
  </si>
  <si>
    <t>Федеральное государственное образовательное бюджетное учреждение высшего образования "Санкт-Петербургский государственный университет"</t>
  </si>
  <si>
    <t>199034, г. Санкт-Петербург, Университетская набережная, д.7/9</t>
  </si>
  <si>
    <t>Федеральное государственное бюджетное образовательное учреждение высшего профессионального образования "Кемеровский государственный университет" (КемГУ)</t>
  </si>
  <si>
    <t>650000, г.Кемерово, ул.Красная, д.6</t>
  </si>
  <si>
    <t>Общество с ограниченной ответственностью «Балтийский завод-Судостроение»</t>
  </si>
  <si>
    <t>199106, г. Санкт-Петербург, ул. Косая линия, д.16, корпус 1, лит.Б</t>
  </si>
  <si>
    <t>Федеральное государственное бюджетное образовательное учреждение высшего образования «Кемеровский технологический институт пищевой промышленности (Университет)»</t>
  </si>
  <si>
    <t>650056, г. Кемерово, бульвар Строителей, д.47</t>
  </si>
  <si>
    <t>Новокузнецкий государственный институт усовершенствования врачей - Филиал Федерального государственного бюджетного образовательного учреждения дополнительного профессионального образования «Российская медицинская академия непрерывного профессионального образования» Министерства здравоохранения Российской Федерации</t>
  </si>
  <si>
    <t>654005,г. Новокузнецк, проспект Строителей, д.5</t>
  </si>
  <si>
    <t>Акционерное общество "Транзас Технологии" (Транзас)</t>
  </si>
  <si>
    <t>Федеральное государственное бюджетное учреждение культуры «Всероссийская государственная библиотека иностранной литературы имени М.И.Рудомино»</t>
  </si>
  <si>
    <t xml:space="preserve">109189, г. Москва, ул. Николоямская, д.1
</t>
  </si>
  <si>
    <t>199178, г.Санкт-Петербург,Малый пр. В.О., дом 54 копус 4 литер В</t>
  </si>
  <si>
    <t>http://www.transas.ru/contacts</t>
  </si>
  <si>
    <t>Публичное акционерное общество «Невское проектно-конструкторское бюро»</t>
  </si>
  <si>
    <t>199226, г. Санкт-Петербург, Галерный проезд, д.3</t>
  </si>
  <si>
    <t>Акционерное общество «Концерн «Научно-производственное объединение «Аврора»</t>
  </si>
  <si>
    <t>Федеральное государственное бюджетное образовательное учреждение высшего образования «Сибирский государственный университет науки и технологий имени академика М.Ф. Решетнева»</t>
  </si>
  <si>
    <t>Общество с ограниченной ответственностью «Росинжиниринг Проект»</t>
  </si>
  <si>
    <t>194044, г.Санкт-Петербург, 
ул. Гельсингфорсская, д. 2, лит. А, Бизнес-центр «Гельсингфорсский»</t>
  </si>
  <si>
    <t>Федеральное государственное бюджетное образовательное учреждение высшего образования «Красноярский государственный медицинский университет имени профессора В.Ф. Войно-Ясенецкого» Министерства здравоохранения Российской Федерации</t>
  </si>
  <si>
    <t>660022, Красноярский край, г. Красноярск, ул. Партизана Железняка, д.1</t>
  </si>
  <si>
    <t xml:space="preserve">Общество с ограниченной ответственностью "Центр речевых технологий" (ЦРТ) </t>
  </si>
  <si>
    <t>196084, г.Санкт-Петербург, ул.Красуцкого, д.4, литера "А"</t>
  </si>
  <si>
    <t>г. Санкт-Петербург</t>
  </si>
  <si>
    <t>Федеральное государственное автономное образовательное учреждение высшего образования «Сибирский федеральный университет»</t>
  </si>
  <si>
    <t xml:space="preserve">660041,г. Красноярск, проспект Свободный, д.79
</t>
  </si>
  <si>
    <t>Закрытое акционерное общество "Бюро техники-Проект"</t>
  </si>
  <si>
    <t>196084, г.Санкт-Петербург, ул.Цветочная, д.25, литера Ж</t>
  </si>
  <si>
    <t>Федеральное государственное унитарное предприятие «Центральный институт авиационного моторостроения имени П.И. Баранова»</t>
  </si>
  <si>
    <t>Федеральное государственное бюджетное учреждение "Научно-исследовательский институт онкологии имени Н.Н. Петрова" Министерства здравоохранения Российской Федерации</t>
  </si>
  <si>
    <t xml:space="preserve">197758, г. Санкт-Петербург, пос. Песочный, ул.Ленинградская, д.68 </t>
  </si>
  <si>
    <t xml:space="preserve">
Федеральное государственное бюджетное учреждение науки Институт эволюционной физиологии и биохимии имени И. М. Сеченова Российской академии наук (ИЭФБ РАН)</t>
  </si>
  <si>
    <t>Федеральное государственное бюджетное образовательное учреждение высшего образования «Национальный исследовательский университет «МЭИ»</t>
  </si>
  <si>
    <t xml:space="preserve">111250, г. Москва, ул. Красноказарменная, д.14
</t>
  </si>
  <si>
    <t xml:space="preserve">
194223, г. Санкт-Петербург, пр-т. Тореза, д.44 </t>
  </si>
  <si>
    <t>http://iephb.ru/vakansii/tekushhie-vakansii/</t>
  </si>
  <si>
    <t xml:space="preserve">
Федеральное государственное бюджетное учреждение науки Институт цитологии Российской академии наук (ИНЦ РАН)</t>
  </si>
  <si>
    <t xml:space="preserve">
194064, г. Санкт-Петербург, Тихорецкий пр-т, д. 4</t>
  </si>
  <si>
    <t>http://www.cytspb.rssi.ru/</t>
  </si>
  <si>
    <t>Акционерное общество "Петер-Сервис"</t>
  </si>
  <si>
    <t>191123, г. Санкт-Петербург, ул.Шпалерная, д.36</t>
  </si>
  <si>
    <t>Публичное акционерное общество «Объединенные машиностроительные заводы» (Группа Уралмаш-Ижора)</t>
  </si>
  <si>
    <t>115035, г. Москва, Овчинниковская набережная, д.20, строение 2</t>
  </si>
  <si>
    <t>http://www.billing.ru/contacts/petersburg</t>
  </si>
  <si>
    <t>https://hh.ru/employer/6004</t>
  </si>
  <si>
    <t>Акционерное общество «Прибалтийский судостроительный завод «Янтарь»</t>
  </si>
  <si>
    <t>236005,г. Калининград, площадь Гуськова, д.1</t>
  </si>
  <si>
    <t>Федеральное государственное автономное образовательное учреждение высшего образования «Балтийский федеральный университет имени Иммануила Канта»</t>
  </si>
  <si>
    <t>Акционерное общество "Авиакомпания "НордСтар" (АО "АК "НордСтар"</t>
  </si>
  <si>
    <t>Акционерное общество «Центральное научно-конструкторское бюро»</t>
  </si>
  <si>
    <t>660075, г.Красноярск, ул.Маерчака, д.16</t>
  </si>
  <si>
    <t xml:space="preserve">1150540, г. Москва, ул. Зацепа, д.21, стр.2
</t>
  </si>
  <si>
    <t xml:space="preserve">Акционерное общество "Корпорация развития Калининградской области" </t>
  </si>
  <si>
    <t>Общество с ограниченной ответственностью "Творческая мастерская архитектора Рыжкова Н.В."</t>
  </si>
  <si>
    <t>662311,  г. Шарыпово, Пионерный мкр., 15</t>
  </si>
  <si>
    <t>236041, г.Калининград, ул.Сержантская, д.19</t>
  </si>
  <si>
    <t xml:space="preserve">Общество с ограниченной ответственностью "Балтфармацевтика" </t>
  </si>
  <si>
    <t>238420, г.Багратионовск,ул. Коммунальная, д. 2</t>
  </si>
  <si>
    <t>http://www.ecobaltic.com/contacts</t>
  </si>
  <si>
    <t>Общество с ограниченной ответственностью "Инфамед К"</t>
  </si>
  <si>
    <t>238420, г. Багратионовск, ул. Коммунальная, д. 12</t>
  </si>
  <si>
    <t>http://www.ecobaltic.com/projects</t>
  </si>
  <si>
    <t xml:space="preserve">http://www.uniscan-research.ru/contacts				</t>
  </si>
  <si>
    <t>Публичное акционерное общество «Выборгский судостроительный завод»</t>
  </si>
  <si>
    <t>188800, Выборгский район, г. Выборг, Приморское шоссе, д.2Б</t>
  </si>
  <si>
    <t>Акционерное общество «Швабе - оборона и защита»</t>
  </si>
  <si>
    <t xml:space="preserve">630049,  г. Новосибирск, 
ул. Дуси Ковальчук, д.179/2
</t>
  </si>
  <si>
    <t>Акционерное общество «Ведущий научно-исследовательский институт химической технологии»</t>
  </si>
  <si>
    <t>115409 г. Москва, Каширское шоссе, д.33</t>
  </si>
  <si>
    <t>Филиал Публичного акционерного общества «Компания «Сухой» - «Новосибирский авиационный завод им. В.П. Чкалова»</t>
  </si>
  <si>
    <t>Федеральное государственное автономное образовательное учреждение высшего образования «Национальный исследовательский ядерный университет «МИФИ»</t>
  </si>
  <si>
    <t>115409, г. Москва, Каширское шоссе, д.31</t>
  </si>
  <si>
    <t xml:space="preserve">
Федеральное государственное бюджетное учреждение науки Полярно-альпийский ботанический сад-институт им. Н. А. Аврорина Кольского научного центра Российской академии наук (ПАБСИ КНЦ РАН)</t>
  </si>
  <si>
    <t>184256, Мурманская область, г. Кировск, ул. Ботанический Сад</t>
  </si>
  <si>
    <t>http://www.pabgi.ru/konkursy-na-zameshchenie-vakantnykh-dolzhnostej.html</t>
  </si>
  <si>
    <t>630090, г. Новосибирск, проспект Академика Коптюга, д.1</t>
  </si>
  <si>
    <t>Федеральное государственное бюджетное образовательное учреждение высшего профессионального образования «Псковский государственный университет» (ПсковГУ)</t>
  </si>
  <si>
    <t>180000, Псковская область, г. Псков, пл. Ленина, д. 2</t>
  </si>
  <si>
    <t>Акционерное общество «Ордена Трудового Красного Знамени специальный научно-исследовательский и проектный институт СоюзпромНИИпроект»</t>
  </si>
  <si>
    <t xml:space="preserve">115487, г. Москва, ул. Садовники, д.2
</t>
  </si>
  <si>
    <t>Федеральное государственное автономное образовательное учреждение высшего образования «Новосибирский национальный исследовательский государственный университет»</t>
  </si>
  <si>
    <t>Федеральное государственное бюджетное учреждение «Эндокринологический научный центр» Министерства здравоохранения Российской Федерации</t>
  </si>
  <si>
    <t xml:space="preserve">117036, г. Москва, ул. Дмитрия Ульянова, д.11
</t>
  </si>
  <si>
    <t>Федеральное государственное бюджетное образовательное учреждение высшего образования «Петрозаводский государственный университет»</t>
  </si>
  <si>
    <t>185910, Республика Карелия, г. Петрозаводск, проспект Ленина, д. 33</t>
  </si>
  <si>
    <t xml:space="preserve">
185000, Республика Карелия, г. Петрозаводск, ул. Пушкинская, д. 11 </t>
  </si>
  <si>
    <t>http://ib.krc.karelia.ru/section.php?plang=r&amp;id=2777</t>
  </si>
  <si>
    <t xml:space="preserve">
Федеральное государственное бюджетное учреждение науки Институт леса Карельского научного центра Российской академии наук (ИЛ КАРНЦ РАН)</t>
  </si>
  <si>
    <t>185910, Республика Карелия, г. Петрозаводск, ул. Пушкинская,д.11</t>
  </si>
  <si>
    <t>http://forestry.krc.karelia.ru/contact.php?plang=r</t>
  </si>
  <si>
    <t>Карельская региональная общественная организация дополнительного образования «Центр «Инициатива» (КРООДО "Центр "Инициатива")</t>
  </si>
  <si>
    <t>185034, Республика Карелия, г. Петрозаводск, ул. Водников, д. 22, кв. 9</t>
  </si>
  <si>
    <t>http://www.centrinit.ru/about/vakansii/</t>
  </si>
  <si>
    <t>Федеральное государственное бюджетное образовательное учреждение высшего образования «Новосибирский государственный медицинский университет» Министерства здравоохранения Российской Федерации</t>
  </si>
  <si>
    <t>630091, Новосибирская область, г. Новосибирск, Красный проспект, д.52</t>
  </si>
  <si>
    <t>Федеральное государственное бюджетное образовательное учреждение "Сыктывкарский государственный университет имени Питирма Сорокина" (ФГБОУ ВО СГУ им.Питирма Сорокина")</t>
  </si>
  <si>
    <t>167001, Республика Коми, г.Сыктывкар, Октябрьский пр-т, д.55</t>
  </si>
  <si>
    <t>169300, Республика Коми, г. Ухта, ул.Первомайская, д.13</t>
  </si>
  <si>
    <t>http://www.ugtu.net/science/konkurs</t>
  </si>
  <si>
    <t>Общество с ограниченной ответственностью "Башнефть Полюс"</t>
  </si>
  <si>
    <t>166000, Ненецкий автономный округ, г. Нарьян-Мар, ул.Ленина, д.31
Почтовый адрес: г.Уфа, ул.К.Маркса, д.56</t>
  </si>
  <si>
    <t>Ненецкий автономный округ</t>
  </si>
  <si>
    <t>ООО "Плеск"</t>
  </si>
  <si>
    <t>630007, г.Новосибирск, Октябрьская магистраль, д.4</t>
  </si>
  <si>
    <t>https://hh.ru/employer/2199311</t>
  </si>
  <si>
    <t>Фонд поддержки языковой культуры граждан "Тотальный диктант"</t>
  </si>
  <si>
    <t>630090, г.Новосибирск, ул.Пирогова, д.10</t>
  </si>
  <si>
    <t xml:space="preserve">Общество с ограниченной ответственностью "Алекта" </t>
  </si>
  <si>
    <t>630090, г.Новосибирск, пр-т Академика Лаврентьева, д.2/2</t>
  </si>
  <si>
    <t>http://www.alekta.ru/Contact/</t>
  </si>
  <si>
    <t>Федеральное государственное бюджетное учреждение «Научный центр акушерства, гинекологии и перинатологии имени академика В.И. Кулакова» Министерства здравоохранения Российской Федерации</t>
  </si>
  <si>
    <t>117997, г. Москва, ул. Академика Опарина, д.4</t>
  </si>
  <si>
    <t>Федеральное государственное бюджетное образовательное учреждение высшего образования «Омский государственный медицинский университет» Министерства здравоохранения Российской Федерации</t>
  </si>
  <si>
    <t xml:space="preserve">644043, Омская область, г. Омск, ул. Ленина, д.12
</t>
  </si>
  <si>
    <t>Федеральное государственное бюджетное образовательное учреждение высшего образования «Российский национальный исследовательский медицинский университет имени Н.И. Пирогова» Министерства здравоохранения Российской Федерации</t>
  </si>
  <si>
    <t>117997, г. Москва, ул. Островитянова, д.1</t>
  </si>
  <si>
    <t>Федеральное государственное бюджетное образовательное учреждение высшего образования «Омский государственный университет путей сообщения»</t>
  </si>
  <si>
    <t>Федеральное государственное бюджетное учреждение «Национальный научно-практический центр детской гематологии, онкологии и иммунологии имени Дмитрия Рогачева» Министерства здравоохранения Российской Федерации</t>
  </si>
  <si>
    <t>117997, г.Москва, ул. Саморы Машела, д.1</t>
  </si>
  <si>
    <t>Федеральное государственное бюджетное учреждение «Российская государственная библиотека»</t>
  </si>
  <si>
    <t xml:space="preserve">
Федеральное государственное бюджетное учреждение науки Институт общей и экспериментальной биологии Сибирского отделения Российской академии наук (ИОЭБ СО РАН)</t>
  </si>
  <si>
    <t xml:space="preserve">
670047,  г. Улан-Удэ, ул. Сахьяновой, д.6</t>
  </si>
  <si>
    <t>http://igeb.ru/vacancy/</t>
  </si>
  <si>
    <t>Общество с ограниченной ответственностью "Востсибпроект"</t>
  </si>
  <si>
    <t>670031,  г. Улан-Удэ, ул.Ключевская, д.30-3</t>
  </si>
  <si>
    <t xml:space="preserve">Федеральное государственное автономное образовательное учреждение высшего образования «Национальный исследовательский технологический университет «МИСИС» </t>
  </si>
  <si>
    <t>119049, г. Москва, Ленинский проспект, д.4</t>
  </si>
  <si>
    <t>Федеральное государственное бюджетное образовательное учреждение высшего образования «Томский государственный архитектурно-строительный университет»</t>
  </si>
  <si>
    <t xml:space="preserve">634003, г. Томск, Соляная площадь, д.2
</t>
  </si>
  <si>
    <t>Открытое акционерное общество «Томская домостроительная компания»</t>
  </si>
  <si>
    <t xml:space="preserve">634021, г. Томск, ул. Елизаровых, д.79, строение 1
</t>
  </si>
  <si>
    <t>Общество с ограниченной ответственностью «Артлайф»</t>
  </si>
  <si>
    <t xml:space="preserve">634034,г. Томск, ул. Нахимова, д. 8/2
</t>
  </si>
  <si>
    <t>https://hh.ru/employer/689</t>
  </si>
  <si>
    <t>Государственная корпорация по содействию разработке, производству и экспорту высокотехнологичной промышленной продукции «Ростех»</t>
  </si>
  <si>
    <t>119991, г. Москва, Гоголевский бульвар, д.21, строение 1</t>
  </si>
  <si>
    <t>Федеральное государственное бюджетное учреждение «Федеральный медицинский исследовательский центр психиатрии и наркологии имени В.П. Сербского»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</si>
  <si>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«Сибирский государственный медицинский университет» Министерства здравоохранения Российской Федерации</t>
  </si>
  <si>
    <t>Федеральное государственное образовательное бюджетное учреждение высшего образования «Московский государственный университет им. М.В. Ломоносова»</t>
  </si>
  <si>
    <t>119991, г. Москва, Ленинские горы, д.1</t>
  </si>
  <si>
    <t xml:space="preserve">634050, г. Томск, Московский тракт, д.2
</t>
  </si>
  <si>
    <t>Федеральное государственное автономное образовательное учреждение высшего образования «Национальный исследовательский Томский политехнический университет»</t>
  </si>
  <si>
    <t xml:space="preserve">634050, г. Томск, проспект Ленина, д.30
</t>
  </si>
  <si>
    <t xml:space="preserve">Федеральное государственное бюджетное образовательное учреждение высшего образования «Российский государственный университет нефти и газа (национальный исследовательский университет) имени 
И. М. Губкина»
</t>
  </si>
  <si>
    <t>119991, г. Москва, Ленинский проспект, д.65, корпус 1</t>
  </si>
  <si>
    <t>https://hh.ru/employer/2642916</t>
  </si>
  <si>
    <t>Федеральное государственное бюджетное образовательное учреждение высшего образования «Томский государственный университет систем управления и радиоэлектроники»</t>
  </si>
  <si>
    <t>Федеральное государственное автономное образовательное учреждение высшего образования «Первый Московский государственный медицинский университет имени И.М. Сеченова» Министерства здравоохранения Российской Федерации (Сеченовский Университет)</t>
  </si>
  <si>
    <t xml:space="preserve">634050,г. Томск, проспект Ленина, д.40
</t>
  </si>
  <si>
    <t>119991, г. Москва, ул. Трубецкая, д.8, стр.2</t>
  </si>
  <si>
    <t>Федеральное государственное автономное образовательное учреждение высшего образования «Национальный исследовательский Томский государственный университет»</t>
  </si>
  <si>
    <t xml:space="preserve">634050, г. Томск, проспект Ленина, д.36
</t>
  </si>
  <si>
    <t>Закрытое акционерное общество «Элекард Девайсез»</t>
  </si>
  <si>
    <t>Акционерное общество «Концерн воздушно-космической обороны «Алмаз-Антей»</t>
  </si>
  <si>
    <t>121471, г. Москва, ул. Верейская, д. 41</t>
  </si>
  <si>
    <t>634055,  г. Томск, площадь Академика Зуева, д. 1</t>
  </si>
  <si>
    <t>http://www.iao.ru/ru/contacts</t>
  </si>
  <si>
    <t xml:space="preserve">Акционерное общество "Элеси" </t>
  </si>
  <si>
    <t>634021,  г.Томск, ул.Алтайская, д.161а</t>
  </si>
  <si>
    <t>http://www.elesy.ru/contacts/tomsk.aspx</t>
  </si>
  <si>
    <t>https://hh.ru/employer/63367</t>
  </si>
  <si>
    <t>Федеральное государственное бюджетное учреждение «Федеральный научно-исследовательский центр эпидемиологии и микробиологии имени почетного академика Н.Ф. Гамалеи» Министерства здравоохранения Российской Федерации</t>
  </si>
  <si>
    <t xml:space="preserve">Акционерное общество 
«Р-Фарм»
</t>
  </si>
  <si>
    <t>123154, г. Москва, ул. Берзарина, д.19, корпус 1</t>
  </si>
  <si>
    <t>Федеральное государственное бюджетное учреждение «Федеральный научный центр трансплантологии и искусственных органов имени академика В.И. Шумакова» Министерства здравоохранения Российской Федерации</t>
  </si>
  <si>
    <t>Акционерное общество «Вертолеты России»</t>
  </si>
  <si>
    <t>Федеральное государственное бюджетное образовательное учреждение дополнительного профессионального образования «Российская медицинская академия непрерывного профессионального образования» Министерства здравоохранения Российской Федерации</t>
  </si>
  <si>
    <t>http://www.ntmdt-si.ru/</t>
  </si>
  <si>
    <t>Федеральное государственное автономное образовательное учреждение высшего образования «Национальный исследовательский университет «Московский институт электронной техники»</t>
  </si>
  <si>
    <t xml:space="preserve">124498, г. Москва, 
г. Зеленоград, площадь Шокина, д.1
</t>
  </si>
  <si>
    <t>Акционерное общество «Фирма «АйТи». Информационные технологии»</t>
  </si>
  <si>
    <t xml:space="preserve">124498, г. Москва, 
г. Зеленоград, ул. Нет, корпус 456 офис 8 
</t>
  </si>
  <si>
    <t>Федеральное государственное бюджетное учреждение культуры "Государственный академический Большой театр России"</t>
  </si>
  <si>
    <t>125009, г. Москва, Театральная площадь, д. 1</t>
  </si>
  <si>
    <t>Федеральное государственное бюджетное учреждение «Гематологический научный центр» Министерства здравоохранения Российской Федерации</t>
  </si>
  <si>
    <t>125167, г. Москва, Новый Зыковский проезд, д.4</t>
  </si>
  <si>
    <t>Открытое акционерное общество «Авиационный комплекс им. С.В. Ильюшина»</t>
  </si>
  <si>
    <t>125190, г. Москва, Ленинградский проспект, д.45Г</t>
  </si>
  <si>
    <t>Акционерное общество «Лаборатория Касперского»</t>
  </si>
  <si>
    <t>125212, г. Москва, Ленинградское шоссе, д.39А, стр.2</t>
  </si>
  <si>
    <t>Акционерное общество «Научно-производственный концерн «Технологии машиностроения»</t>
  </si>
  <si>
    <t>125212, г. Москва, Ленинградское шоссе, д.58, стр. 4</t>
  </si>
  <si>
    <t>Акционерное общество «Российская самолетостроительная корпорация «МиГ»</t>
  </si>
  <si>
    <t>125284, г. Москва, 1-й Боткинский проезд, д.7</t>
  </si>
  <si>
    <t>Московский научно-исследовательский онкологический институт имени П.А. Герцена – филиал Федерального государственного бюджетного учреждения «Национальный медицинский исследовательский радиологический центр» Министерства здравоохранения Российской Федерации</t>
  </si>
  <si>
    <t>125284, г.Москва, 2-й Боткинский проезд, д.3</t>
  </si>
  <si>
    <t>Филиал Публичного акционерного общества «Компания «Сухой» «ОКБ Сухого»</t>
  </si>
  <si>
    <t xml:space="preserve">125284, г. Москва, ул. Поликарпова, д.23А
</t>
  </si>
  <si>
    <t>Публичное акционерное общество «Авиационная холдинговая компания «Сухой»</t>
  </si>
  <si>
    <t xml:space="preserve">125284, г. Москва, ул. Поликарпова, д.23Б
</t>
  </si>
  <si>
    <t>Акционерное общество «Гражданские самолёты Сухого»</t>
  </si>
  <si>
    <t xml:space="preserve">125284, г. Москва, ул. Поликарпова, д.23Б, 
корп. 2
</t>
  </si>
  <si>
    <t>Акционерное общество «АэроКомпозит»</t>
  </si>
  <si>
    <t>125284, г. Москва, ул. Поликарпова, д.23Б, корп. 2</t>
  </si>
  <si>
    <t>Общество с ограниченной ответственностью «ОАК-Закупки»</t>
  </si>
  <si>
    <t>Публичное акционерное общество «Научно-производственная корпорация «Иркут»</t>
  </si>
  <si>
    <t>125315, г. Москва, Ленинградский проспект, д.68</t>
  </si>
  <si>
    <t>125167, г. Москва, переулок Авиационный, д.5</t>
  </si>
  <si>
    <t>Федеральное государственное бюджетное образовательное учреждение высшего образования «Московский авиационный институт (национальный исследовательский университет)»</t>
  </si>
  <si>
    <t>125993, г. Москва, Волоколамское шоссе, д.4</t>
  </si>
  <si>
    <t>https://hh.ru/employer/5416</t>
  </si>
  <si>
    <t>Акционерное общество «Центральный научно-исследовательский институт автоматики и гидравлики»</t>
  </si>
  <si>
    <t xml:space="preserve">Общество с ограниченной ответственностью 
«Нанолек»
</t>
  </si>
  <si>
    <t>127055, г. Москва, ул. Бутырский Вал, 68/70, стр.1</t>
  </si>
  <si>
    <t>http://www.nanolek.ru/ru/content/career</t>
  </si>
  <si>
    <t xml:space="preserve">Открытое акционерное общество «Радиотехнический институт имени академика 
А.Л. Минца»
</t>
  </si>
  <si>
    <t>127083, г. Москва, ул. 8-го Марта, д.10, строение 1</t>
  </si>
  <si>
    <t xml:space="preserve">Общество с ограниченной ответственностью 
«Аби Продакшн»
</t>
  </si>
  <si>
    <t>127273, г. Москва, ул. Отрадная, д.2Б, строение 6, офис 14</t>
  </si>
  <si>
    <t>Общество с ограниченной ответственностью «Профит Фарм»</t>
  </si>
  <si>
    <t>Акционерное общество «Научно-производственное объединение «Лианозовский электромеханический завод»</t>
  </si>
  <si>
    <t>127411, г. Москва, Дмитровское шоссе, д.110</t>
  </si>
  <si>
    <t>Общество с ограниченной ответственностью «ИБС Экспертиза»</t>
  </si>
  <si>
    <t>127434, г. Москва, Дмитровское шоссе, д.9Б</t>
  </si>
  <si>
    <t>Федеральное государственное бюджетное образовательное учреждение высшего образования «Московский государственный медико-стоматологический университет имени А.И. Евдокимова» Министерства здравоохранения Российской Федерации</t>
  </si>
  <si>
    <t>127473, г. Москва, ул. Делегатская, д.20, стр.1</t>
  </si>
  <si>
    <t>http://www.msmsu.ru/</t>
  </si>
  <si>
    <t>Федеральное государственное бюджетное образовательное учреждение высшего образования «Московский государственный университет путей сообщения Императора Николая II»</t>
  </si>
  <si>
    <t>Федеральное государственное бюджетное образовательное учреждение высшего образования «Национальный исследовательский Московский государственный строительный университет»</t>
  </si>
  <si>
    <t>129337, г. Москва, Ярославское шоссе, д.26</t>
  </si>
  <si>
    <t>Федеральное государственное бюджетное научно-исследовательское учреждение «Российский научно-исследовательский институт культурного и природного наследия имени Д. С. Лихачева»</t>
  </si>
  <si>
    <t>119072, г. Москва, Берсеневская набережная, д.18-20-22, строение 3</t>
  </si>
  <si>
    <t>Образовательная автономная некоммерческая организация высшего образования "Московская высшая школа социальных и экономических наук" (ОАНО "МВШСЭН")</t>
  </si>
  <si>
    <t>119571, г.Москва, проспект Вернадского, д.82</t>
  </si>
  <si>
    <t>Акционерное общество "Технодинамика"</t>
  </si>
  <si>
    <t>105318, г.Москва, ул. Ибрагимова, д. 29</t>
  </si>
  <si>
    <t>Федеральное государственное образовательное бюджетное учреждение высшего образования "Финансовый университет при Правительстве Российской Федерации" (Финансовый университет)</t>
  </si>
  <si>
    <t>125993, г.Москва, Ленинградский проспект, д.49</t>
  </si>
  <si>
    <t>Общество с ограниченной ответственностью "Яндекс"</t>
  </si>
  <si>
    <t>119021, Москва, ул. Льва Толстого, 16</t>
  </si>
  <si>
    <t>Федеральное государственное бюджетное научное учреждение 
«Научно-исследовательский институт биомедицинской химии имени В.Н. Ореховича» (ИБМХ)</t>
  </si>
  <si>
    <t xml:space="preserve">119121, г.Москва, ул.Погодинская, д.10, стр.8 </t>
  </si>
  <si>
    <t>Федеральное государственное бюджетное образовательное учреждение высшего образования "Российская академия народного хозяйства и государственной службы при Президенте Российской Федерации" (РАНХиГС)</t>
  </si>
  <si>
    <t>Федеральное государственное бюджетное образовательное учреждение высшего образования "Московский архитектурный институт (государственная академия)" МАРХИ</t>
  </si>
  <si>
    <t>107031, г.Москва, ул.Рождественка, д.11/4, корп. 1, стр.4</t>
  </si>
  <si>
    <t>Федеральное государственное унитарное предприятие "Центральный ордена Красного Знамени научно-исследовательский автомобильный и автомоторный институт "НАМИ" (ФГУП "НАМИ")</t>
  </si>
  <si>
    <t>125438, г. Москва, ул. Автомоторная, д.2</t>
  </si>
  <si>
    <t>Акционерное общество "Фонд развития Дальнего Востока и Байкальского региона"</t>
  </si>
  <si>
    <t>Управление в социально сфере</t>
  </si>
  <si>
    <t>123112, г. Москва, Пресненская наб., д. 8, стр. 1, ММДЦ «Москва-Сити», МФК «Город Столиц», Южная Башня, 13 этаж</t>
  </si>
  <si>
    <t>Общество с ограниченной ответственностью "Служба девелопмента"</t>
  </si>
  <si>
    <t>119330, г.Москва, ул.Мосфильмовская, д.35, стр.2</t>
  </si>
  <si>
    <t xml:space="preserve">Федеральное государственное бюджетное учреждение науки Институт динамики геосфер Российской академии наук  </t>
  </si>
  <si>
    <t>119334, Москва, Ленинский пр., д.38, корп.1</t>
  </si>
  <si>
    <t>Общество с ограниченной ответственностью "Нейроботикс"</t>
  </si>
  <si>
    <t>124460, г.Зеленоград, проезд 4922-й, д.4, стр.2</t>
  </si>
  <si>
    <t>Общество с ограниченной ответственностью "Образовательные технологии"</t>
  </si>
  <si>
    <t>129085, г.Москва, Звездный бульвар, д.19, стр.1, офис 1201</t>
  </si>
  <si>
    <t>Государственное казенное учреждение здравоохранения Московской области «Центр по профилактике и борьбе со СПИДом и инфекционными заболеваниями»</t>
  </si>
  <si>
    <t>129110, г.Москва, ул. Щепкина, д.61/2, корп.8</t>
  </si>
  <si>
    <t>Некоммерческая организация благотворительный фонд "Искусство, наука и спорт"</t>
  </si>
  <si>
    <t>121609, г.Москва, Рублевское шоссе, д.28</t>
  </si>
  <si>
    <t>Федеральное государственное унитарное предприятие «Московский эндокринный завод»</t>
  </si>
  <si>
    <t>109052, г.Москва, ул. Новохохловская, д.l/25</t>
  </si>
  <si>
    <t>Федеральное государственное бюджетное учреждение «Национальный исследовательский центр «Курчатовский институт»</t>
  </si>
  <si>
    <t>123182, г. Москва, пл. Академика Курчатова, д.1</t>
  </si>
  <si>
    <t xml:space="preserve">Федеральное государственное бюджетное образовательное учреждение высшего образования "Московский государственный психолого-педагогический университет" (Центр нейро-когнитивных исследований) </t>
  </si>
  <si>
    <t>127051, г. Москва, ул.Сретенка, д. 29</t>
  </si>
  <si>
    <t>Федеральное государственное автономное образовательное учреждение высшего образования «Московский физико-технический институт (государственный университет)»</t>
  </si>
  <si>
    <t>Акционерное общество "Сбербанк - Технологии" (АО "СберТех")</t>
  </si>
  <si>
    <t>117105, г.Москва, Новоданиловская набережная, д.10</t>
  </si>
  <si>
    <t>ФГБУК Государственный музей изобразительных искусств имени А.С. Пушкина (ГМИИ  им.А.С. Пушкина)</t>
  </si>
  <si>
    <t>119019, Москва, ул.Волхонка,12</t>
  </si>
  <si>
    <t>http://www.arts-museum.ru/museum/vacancies/index.php</t>
  </si>
  <si>
    <t>Федеральное государственное бюджетное учреждение «Федеральный институт промышленной собственности» (ФГБУ ФИПС)</t>
  </si>
  <si>
    <t>125993, Москва, Бережковская набережная,д. 30, к. 1</t>
  </si>
  <si>
    <t>http://www1.fips.ru/wps/wcm/connect/content_ru/ru/about/inf_podrazd/</t>
  </si>
  <si>
    <t>https://m.hh.ru/employer/2732321</t>
  </si>
  <si>
    <t>Федеральное государственное бюджетное образовательное учреждение высшего образования «Нижегородская государственная медицинская академия» Министерства здравоохранения Российской Федерации</t>
  </si>
  <si>
    <t>603005, Нижегородская область, г. Н. Новгород, площадь Минина и Пожарского, д.10/1</t>
  </si>
  <si>
    <t>Общество с ограниченной ответственностью "АБРАДОКС" (ООО «АБРАДОКС»)</t>
  </si>
  <si>
    <t xml:space="preserve">Инженерия </t>
  </si>
  <si>
    <t>127081, г. Москва, ул.Чермянская, д. 3, стр.2, пом.3</t>
  </si>
  <si>
    <t>http://www.abradox.ru/AnaRabotuVabradox/</t>
  </si>
  <si>
    <t>https://m.hh.ru/employer/1636228</t>
  </si>
  <si>
    <t>Публичное акционерное общество «Завод «Красное Сормово»</t>
  </si>
  <si>
    <t>603950, г. Нижний Новгород, ул. Баррикад, д.1</t>
  </si>
  <si>
    <t>Общество с ограниченной ответственностью "Вэб инжиниринг" (ООО «ВЭБ Инжиниринг»)</t>
  </si>
  <si>
    <t>107996, г.Москва, пр. Академика Сахарова, д. 9</t>
  </si>
  <si>
    <t>http://vebeng.ru/index.php?r=site/page&amp;view=vacancy</t>
  </si>
  <si>
    <t>https://m.hh.ru/employer/660924</t>
  </si>
  <si>
    <t>Общество с ограниченной ответственностью "Майкромайн Рус" (ООО "Майкромайн Рус")</t>
  </si>
  <si>
    <t>Филиал акционерного общества «Российская самолетостроительная корпорация «МиГ» -Нижегородский авиастроительный завод «Сокол»</t>
  </si>
  <si>
    <t>105318, г. Москва, Семёновская площадь, 1А</t>
  </si>
  <si>
    <t>http://www.micromine.ru/contact/</t>
  </si>
  <si>
    <t>https://hh.ru/employer/1227000</t>
  </si>
  <si>
    <t>Автономная некоммерческая организация «Дирекция Московского транспортного узла» (АНО "ДМТУ")</t>
  </si>
  <si>
    <t>109074, г. Москва, Славянская площадь, д. 2/5/4 строение 3, Административное здание "Дом металлургов", 3 этаж</t>
  </si>
  <si>
    <t>http://anomtu.ru/</t>
  </si>
  <si>
    <t>603035, г. Нижний Новгород, ул. Чаадаева, д.1</t>
  </si>
  <si>
    <t>Некоммерческая организация негосударственное образовательное учреждение "Физтехшкола"(НОУ "Физтехшкола")</t>
  </si>
  <si>
    <t>117292, г. Москва, ул. Профсоюзная, д.26/41</t>
  </si>
  <si>
    <t>http://job.unium.ru/</t>
  </si>
  <si>
    <t>Региональный общественный благотворительный фонд "Таганский детский фонд" (ТДФ)</t>
  </si>
  <si>
    <t>109147,г. Москва, Большой Рогожский пер.,д.10, к.2</t>
  </si>
  <si>
    <t>Федеральное государственное автономное образовательное учреждение высшего образования «Национальный исследовательский Нижегородский государственный университет им. Н.И. Лобачевского»</t>
  </si>
  <si>
    <t>http://www.charity-tcf.ru/ru/</t>
  </si>
  <si>
    <t>603950,г. Нижний Новгород, проспект Гагарина, д.23</t>
  </si>
  <si>
    <t>Акционерное общество «Сибирская угольная энергетическая компания»</t>
  </si>
  <si>
    <t>115054, г.Москва, ул. Дубининская, д. 53, стр. 7</t>
  </si>
  <si>
    <t>603950, г. Нижний Новгород, ул. Минина, д.24</t>
  </si>
  <si>
    <t>http://www.suek.ru/about-us/</t>
  </si>
  <si>
    <t>https://hh.ru/employer/568</t>
  </si>
  <si>
    <t xml:space="preserve">Общество с ограниченной ответственностью «Сибирский научно-исследовательский институт углеобогащения» </t>
  </si>
  <si>
    <t>Общество с ограниченной ответственностью «Автомобильный завод «ГАЗ»</t>
  </si>
  <si>
    <t>603004,  г. Нижний Новгород, проспект Ильича, д.5</t>
  </si>
  <si>
    <t>115054, г.Москва, ул. Дубининская, д. 53, стр. 6, 1 К-ТЫ 9Т 9У 9С 9О 9М 9Ц Ч-ТЬ П. 9Н</t>
  </si>
  <si>
    <t>http://test.sibniicoal.ru/</t>
  </si>
  <si>
    <t>https://hh.ru/employer/2816691</t>
  </si>
  <si>
    <t xml:space="preserve">Акционерное общество "Российская венчурная компания" </t>
  </si>
  <si>
    <t>http://www.orgkhim.com/work/vakansii</t>
  </si>
  <si>
    <t>109028, г. Москва, Серебряническая набережная, дом 29</t>
  </si>
  <si>
    <t>http://www.rvc.ru/</t>
  </si>
  <si>
    <t>https://hh.ru/employer/1199952</t>
  </si>
  <si>
    <t xml:space="preserve">Федеральное государственное автономное учреждение «Российский фонд технологического развития» </t>
  </si>
  <si>
    <t>105062, г. Москва,  Лялин переулок, д. 6, стр. 1</t>
  </si>
  <si>
    <t>http://frprf.ru/</t>
  </si>
  <si>
    <t>https://hh.ru/employer/1706575</t>
  </si>
  <si>
    <t>Открытое акционерное общество Институт "Прикладной биохимии и машиностроения"</t>
  </si>
  <si>
    <t>127299, г. Москва, ул. Клары Цеткин, д.4</t>
  </si>
  <si>
    <t>http://www.bioplaneta.ru/</t>
  </si>
  <si>
    <t>Общество с ограниченной ответственностью "МультиСкан"</t>
  </si>
  <si>
    <t xml:space="preserve">108811, г. Москва, д. Румянцево, стр. 1 </t>
  </si>
  <si>
    <t>http://www.multi-scan.ru/index.php/development</t>
  </si>
  <si>
    <t xml:space="preserve">Общество с ограниченной ответственностью "Терадата" </t>
  </si>
  <si>
    <t>105005, г.Москва, пер. Денисовский, д. 26</t>
  </si>
  <si>
    <t>http://www.teradata.ru/contact-us/Russia</t>
  </si>
  <si>
    <t>https://hh.ru/employer/196122</t>
  </si>
  <si>
    <t>Общество с ограниченной ответственностью  "Девелоперские решения Недвижимость"</t>
  </si>
  <si>
    <t>125167, г. Москва, Ленинградский проспект, д. 37а , корп.4</t>
  </si>
  <si>
    <t xml:space="preserve">Общество с ограниченной ответственностью "Лингуалео" </t>
  </si>
  <si>
    <t xml:space="preserve">143026, г.Москва, тер. Сколково инновационного центра, ул. Нобеля, д. 7 </t>
  </si>
  <si>
    <t>http://lingualeo.com/ru</t>
  </si>
  <si>
    <t>https://hh.ru/employer/998130</t>
  </si>
  <si>
    <t xml:space="preserve">Акционерное общество "Азимут" </t>
  </si>
  <si>
    <t>Федеральное государственное бюджетное образовательное учреждение высшего образования «Оренбургский государственный медицинский университет» Министерства здравоохранения Российской Федерации</t>
  </si>
  <si>
    <t>125167, г.Москва, Нарышкинская аллея, д.5, стр.2</t>
  </si>
  <si>
    <t>460000, Оренбургская область, г. Оренбург, ул. Советская, д.6</t>
  </si>
  <si>
    <t>http://azimut.ru/</t>
  </si>
  <si>
    <t>Общество с ограниченной ответственностью "Т8"</t>
  </si>
  <si>
    <t>107076, г.Москва, ул.Краснобогатырская, д.44, стр.1</t>
  </si>
  <si>
    <t>http://t8.ru/?page_id=6647</t>
  </si>
  <si>
    <t>https://hh.ru/employer/575393</t>
  </si>
  <si>
    <t xml:space="preserve">Общество с ограниченной ответственностью "Код Безопасности" </t>
  </si>
  <si>
    <t>Пензенский институт усовершенствования врачей - Филиал Федерального государственного бюджетного образовательного учреждения дополнительного профессионального образования «Российская медицинская академия непрерывного профессионального образования» Министерства здравоохранения Российской Федерации</t>
  </si>
  <si>
    <t>129075, г.Москва, Мурманский проезд, д.14, корп.1</t>
  </si>
  <si>
    <t>https://www.securitycode.ru/</t>
  </si>
  <si>
    <t>https://hh.ru/employer/2562304</t>
  </si>
  <si>
    <t>Общество с ограниченной ответственностью "Шэффлер Руссланд"</t>
  </si>
  <si>
    <t>115184, г.Москва, 1-й Казачий переулок, д. 5/2</t>
  </si>
  <si>
    <t>http://www.schaeffler.ru/content.schaeffler.ru/ru/index.jsp</t>
  </si>
  <si>
    <t>https://hh.ru/employer/1263783</t>
  </si>
  <si>
    <t>Федеральное государственное бюджетное образовательное учреждение высшего образования «Ивановский государственный энергетический университет имени В.И. Ленина»</t>
  </si>
  <si>
    <t>Федеральное государственное бюджетное образовательное учреждение высшего образования «Ивановская государственная медицинская академия» Министерства здравоохранения Российской Федерации</t>
  </si>
  <si>
    <t>153012, Ивановская область, г. Иваново, Шереметьевский проспект, д.8</t>
  </si>
  <si>
    <t>Федеральное государственное бюджетное образовательное учреждение высшего образования «Пермский государственный медицинский университет имени академика Е.А. Вагнера» Министерства здравоохранения Российской Федерации</t>
  </si>
  <si>
    <t>Федеральное государственное бюджетное образовательное учреждение высшего профессионального образования "Ивановский государственный университет" (ИвГУ)</t>
  </si>
  <si>
    <t>153025, г.Иваново, ул.Ермака, д.39</t>
  </si>
  <si>
    <t>Федеральное государственное бюджетное образовательное учреждение высшего образования «Пермский национальный исследовательский политехнический университет»</t>
  </si>
  <si>
    <t>Федеральное государственное бюджетное образовательное учреждение высшего образования «Ивановский государственный химико-технологический университет» (ИГХТУ)</t>
  </si>
  <si>
    <t>153000, г. Иваново, пр. Шереметевский, д.7</t>
  </si>
  <si>
    <t>Федеральное государственное бюджетное образовательное учреждение высшего образования «Пермский государственный национальный исследовательский университет»</t>
  </si>
  <si>
    <t>Общество с ограниченной ответственностью "Фольксваген Груп Рус" (ООО "Фольксваген Груп Рус")</t>
  </si>
  <si>
    <t>Акционерное общество «ОДК-Авиадвигатель»</t>
  </si>
  <si>
    <t>248926, г.Калуга, ул.Автомобильная, д.1</t>
  </si>
  <si>
    <t>Калужская область</t>
  </si>
  <si>
    <t>Акционерное общество "Калужский завод "Ремпутьмаш" (АО "Калужский завод "Ремпутьмаш")</t>
  </si>
  <si>
    <t>248025, г.Калуга, пер.Малинники, д.21</t>
  </si>
  <si>
    <t>Общество с ограниченной ответственностью "Северсталь-Гонварри-Калуга" (ООО "Северсталь-Гонварри-Калуга")</t>
  </si>
  <si>
    <t>Федеральное государственное бюджетное образовательное учреждение высшего профессионального образования "Калужский государственный университет им. К.Э.Циолковского" (ФГБОУ ВО ЧГПУ)</t>
  </si>
  <si>
    <t>248023, г.Калуга, ул.Ст.Разина, д.26</t>
  </si>
  <si>
    <t>Акционерное общество "Обнинское научно-производственное предприятие "Технология" им А.Г.Ромашина" (АО "ОНПП "Технология" им. А.Г.Ромашина")</t>
  </si>
  <si>
    <t>249031, Калужская область, г.Обнинск, Киевское шоссе, д.15</t>
  </si>
  <si>
    <t>Акционерное общество "Плитспичпром" (АО "Плитспичпром")</t>
  </si>
  <si>
    <t>249000, Калужская область, г.Балабаново, пл.50 лет Октября, д.3</t>
  </si>
  <si>
    <t>Общество с ограниченной ответственностью "ПермьОблПроект"</t>
  </si>
  <si>
    <t>614000, г.Пермь, ул.Монастырская, д.57</t>
  </si>
  <si>
    <t>Федеральное государственное бюджетное образовательное учреждение высшего образования «Башкирский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</si>
  <si>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«Курский государственный медицинский университет» Министерства здравоохранения Российской Федерации</t>
  </si>
  <si>
    <t>305041, Курская область, г. Курск, ул. Карла Маркса, д.3</t>
  </si>
  <si>
    <t>Федеральное государственное бюджетное образовательное учреждение высшего образования «Уфимский государственный авиационный технический университет»</t>
  </si>
  <si>
    <t>Акционерное общество «Рафарма»</t>
  </si>
  <si>
    <t>399540, Тербунский район, село Тербуны, ул. Дорожная, д.6А</t>
  </si>
  <si>
    <t>Публичное акционерное общество «Уфимское моторостроительное производственное объединение»</t>
  </si>
  <si>
    <t>Федеральное государственное образовательное бюджетное учреждение высшего профессионального образования "Липецкий государственный педагогический университет" (ЛГПУ)</t>
  </si>
  <si>
    <t>600031, Владимирская  область, г.Владимир, ул. Добросельская, д. 224</t>
  </si>
  <si>
    <t>140105, г. Раменское, ул.Прямолинейная, 26</t>
  </si>
  <si>
    <t>Акционерное общество «Летно-исследовательский институт имени М.М. Громова»</t>
  </si>
  <si>
    <t>140180,  г. Жуковский, ул. Гарнаева, д.2А</t>
  </si>
  <si>
    <t xml:space="preserve">Федеральное государственное унитарное предприятие «Центральный аэрогидродинамический институт имени 
Н.Е. Жуковского»
</t>
  </si>
  <si>
    <t>140180,  г. Жуковский, ул. Жуковского, д.1</t>
  </si>
  <si>
    <t>140180, г.Жуковский,  ул.Туполева, 18</t>
  </si>
  <si>
    <t>141000, г.Мытищи, 4530-й пр, владение 4, стр 1</t>
  </si>
  <si>
    <t>Акционерное общество «Красноармейский научно-исследовательский институт механизации»</t>
  </si>
  <si>
    <t>141292, г. Красноармейск, Проспект Испытателей, д.8</t>
  </si>
  <si>
    <t xml:space="preserve">Филиал Публичного акционерного общества "Акционерная нефтяная Компания "Башнефть" "Башнефть - Уфанефтехим" 
</t>
  </si>
  <si>
    <t>http://www.bashneft.ru/company/contacts/</t>
  </si>
  <si>
    <t>141400, г. Химки, ул. Ленинградская, д. 24</t>
  </si>
  <si>
    <t xml:space="preserve">
Общество с ограниченной ответственностью Проектная фирма «Уралтрубопроводстройпроект» </t>
  </si>
  <si>
    <t xml:space="preserve">
450022, Республика Башкортостан, г.Уфа, ул. Менделеева, 21</t>
  </si>
  <si>
    <t>https://utpsp.ru/</t>
  </si>
  <si>
    <t>https://hh.ru/employer/772623</t>
  </si>
  <si>
    <t>Федеральное государственное бюджетное образовательное учреждение высшего образования «Национальный исследовательский Мордовский государственный университет им. Н. П. Огарёва»</t>
  </si>
  <si>
    <t>141401, г.Химки, ул. Бурденко д.1</t>
  </si>
  <si>
    <t>Акционерное общество "Оптиковолоконные Системы"</t>
  </si>
  <si>
    <t>430006, г.Саранск, ул.Лодыгина, д.13</t>
  </si>
  <si>
    <t>http://www.rusfiber.ru/o-kompanii/</t>
  </si>
  <si>
    <t>142115, г.Подольск, ул.Машиностроителей, дом 23</t>
  </si>
  <si>
    <t>https://hh.ru/employer/1485167</t>
  </si>
  <si>
    <t xml:space="preserve">Общество с ограниченной ответственностью 
«НПО Петровакс Фарм»
</t>
  </si>
  <si>
    <t>142143, Московская область, Подольский район, село Покров, ул. Сосновая, д.1</t>
  </si>
  <si>
    <t>Автономная некоммерческая организация высшего образования «Университет Иннополис»</t>
  </si>
  <si>
    <t>Акционерное общество «Центральный научно-исследовательский институт точного машиностроения»</t>
  </si>
  <si>
    <t>Федеральное государственное бюджетное образовательное учреждение высшего образования «Амурская государственная медицинская академия» Министерства здравоохранения Российской Федерации</t>
  </si>
  <si>
    <t>Публичное акционерное общество «Восточный экспресс банк»</t>
  </si>
  <si>
    <t>675000,  г. Благовещенск, переулок Св. Иннокентия, д.1</t>
  </si>
  <si>
    <t>https://hh.ru/employer/78961</t>
  </si>
  <si>
    <t>Федеральное государственное бюджетное образовательное учреждение высшего образования «Казанский государственный медицинский университет» Министерства здравоохранения Российской Федерации</t>
  </si>
  <si>
    <t>420012, Республика Татарстан, г. Казань, ул. Бутлерова, д.49</t>
  </si>
  <si>
    <t>Казанская государственная медицинская академия - Филиал Федерального государственного бюджетного образовательного учреждения дополнительного профессионального образования «Российская медицинская академия непрерывного профессионального образования» Министерства здравоохранения Российской Федерации</t>
  </si>
  <si>
    <t>420012, г. Казань, ул. Муштари, д.11</t>
  </si>
  <si>
    <t xml:space="preserve">Филиал Публичного акционерного общества «Туполев» «Казанский авиационный завод 
им. С.П. Горбунова»
</t>
  </si>
  <si>
    <t>Федеральное казенное предприятие «Государственный научно-исследовательский институт химических продуктов»</t>
  </si>
  <si>
    <t>420033, г. Казань, ул. Светлая, д.1</t>
  </si>
  <si>
    <t>Публичное акционерное общество "Магаданэнерго" (ПАО "Магаданэнерго")</t>
  </si>
  <si>
    <t>685000, г. Магадан, ул. Советская, д.24</t>
  </si>
  <si>
    <t>Федеральное государственное автономное образовательное учреждение высшего образования «Казанский (Приволжский) федеральный университет»</t>
  </si>
  <si>
    <t>Публичное акционерное общество «Т Плюс»</t>
  </si>
  <si>
    <t>143421, Красногорский район, автодорога Балтия, территория 26 км бизнес-центра Рига-Ленд, строение 3</t>
  </si>
  <si>
    <t>Федеральное государственное бюджетное образовательное учреждение высшего образования «Тихоокеанский государственный медицинский университет» Министерства здравоохранения Российской Федерации</t>
  </si>
  <si>
    <t xml:space="preserve">Федеральное государственное бюджетное образовательное учреждение высшего образования «Казанский национальный исследовательский технический университет им. А.Н.Туполева-КАИ» </t>
  </si>
  <si>
    <t>https://www.kai.ru/web/guest/sveden/common</t>
  </si>
  <si>
    <t>Федеральное государственное бюджетное образовательное учреждение высшего образования «Казанский национальный исследовательский технологический университет»</t>
  </si>
  <si>
    <t>420015,  г. Казань, Карла Маркса, д.68</t>
  </si>
  <si>
    <t>Публичное акционерное общество «КАМАЗ»</t>
  </si>
  <si>
    <t>Общество с ограниченной ответственностью "Компетентум.ру" (ООО "Компетентум.ру")</t>
  </si>
  <si>
    <t>141700, Московская область, г. Долгопрудный, Лихачевский проезд, д.4, стр.1</t>
  </si>
  <si>
    <t xml:space="preserve">
Федеральное государственное бюджетное учреждение науки Институт белка Российской академии наук (ИБ РАН)</t>
  </si>
  <si>
    <t xml:space="preserve">
142290, Московская область, г. Пущино, ул. Институтская, д. 4</t>
  </si>
  <si>
    <t>https://protres.ru/kontakty</t>
  </si>
  <si>
    <t>Федеральное государственное автономное образовательное учреждение высшего образования «Дальневосточный федеральный университет»</t>
  </si>
  <si>
    <t xml:space="preserve">690950, г. Владивосток, ул. Суханова, д.8
</t>
  </si>
  <si>
    <t>Общество с ограниченной ответственностью «ТНГ-Групп»</t>
  </si>
  <si>
    <t>Акционерное общество «Центр судоремонта «Дальзавод»</t>
  </si>
  <si>
    <t xml:space="preserve">690950, г. Владивосток, ул. Светланская, д.72
</t>
  </si>
  <si>
    <t>143025, Московская область, Одинцовский район, д Сколково, ул Новая, д.100</t>
  </si>
  <si>
    <t>Краевое государственное автономное учреждение "Краевая спортивная школа"</t>
  </si>
  <si>
    <t>690091,  г.Владивосток, ул. Батарейная, д.2</t>
  </si>
  <si>
    <t>Публичное акционерное общество «Арсеньевская авиационная компания «Прогресс» им. Н.И. Сазыкина»</t>
  </si>
  <si>
    <t xml:space="preserve">692330, г. Арсеньев, Площадь Ленина, д.5
</t>
  </si>
  <si>
    <t>Федеральное государственное бюджетное образовательное учреждение высшего образования «Рязанский государственный медицинский университет имени академика И.П. Павлова» Министерства здравоохранения Российской Федерации</t>
  </si>
  <si>
    <t>Федеральное государственное бюджетное образовательное учреждение высшего профессионального образования "Приморская государственная сельскохозяйственная академия" (Приморская ГСХА)</t>
  </si>
  <si>
    <t>692510, Приморский край, г.Уссурийск, пр. Блюхера 44</t>
  </si>
  <si>
    <t>Акционерное общество «Дальневосточный завод «Звезда»</t>
  </si>
  <si>
    <t xml:space="preserve">692809, г. Большой Камень, ул. Степана Лебедева, д.1
</t>
  </si>
  <si>
    <t xml:space="preserve">Общество с ограниченной ответственностью "Производственно - Финансовое предприятие " Квантэкс" </t>
  </si>
  <si>
    <t>390000, г.Рязань, ул. Кудрявцева, д.34</t>
  </si>
  <si>
    <t>http://www.kvantex.ru/</t>
  </si>
  <si>
    <t>Федеральное государственное бюджетное образовательное учреждение высшего образования "Сахалинский государственный университет" (СахГУ)</t>
  </si>
  <si>
    <t>Образоввание</t>
  </si>
  <si>
    <t>693008, г.Южно-Сахалинск, ул.Ленина, д.290</t>
  </si>
  <si>
    <t>Областное автономное учреждение "Спортивно-туристический комплекс "Горный воздух"</t>
  </si>
  <si>
    <t>693000, г.Южно-Сахалинск, пр.Коммунистический, д.49, ком.201</t>
  </si>
  <si>
    <t>Публичное акционерное общество "Тамбовский завод "Электроприбор"</t>
  </si>
  <si>
    <t>392000, г. Тамбов, Моршанское шоссе, д.36</t>
  </si>
  <si>
    <t>http://www.elektmb.ru/</t>
  </si>
  <si>
    <t>https://tambov.hh.ru/employer/2714841</t>
  </si>
  <si>
    <t xml:space="preserve">Федеральное государственное автономное образовательное учреждение высшего образования «Северо-восточный федеральный университет имени 
М.К. Аммосова»
</t>
  </si>
  <si>
    <t xml:space="preserve">677000, г. Якутск,  ул. Белинского, д.58
</t>
  </si>
  <si>
    <t>171505, Тверская обл., г.Кимры, ул. 50 лет ВЛКСМ, дом 11Б</t>
  </si>
  <si>
    <t>Государственное научное учреждение Якутский научно-исследовательский институт сельского хозяйства Российской академии сельскохозяйственных наук</t>
  </si>
  <si>
    <t>Медицинская организация?</t>
  </si>
  <si>
    <t>Федеральное государственное бюджетное образовательное учреждение высшего образования «Тверской государственный медицинский университет» Министерства здравоохранения Российской Федерации</t>
  </si>
  <si>
    <t>Акционерное общество «Конструкторское бюро приборостроения им. Академика А.Г. Шипунова»</t>
  </si>
  <si>
    <t>Акционерное общество «Зеленодольское проектно-конструкторское бюро»</t>
  </si>
  <si>
    <t>Акционерное общество «Научно-производственное объединение «Сплав»</t>
  </si>
  <si>
    <t>Некоммерческое партнерство "КАМАЗ-Автоспорт" (НП "КАМАЗ-АС")</t>
  </si>
  <si>
    <t>423800, Республика Татарстан, г.Набережные Челны, Промзона ОАО "КАМАЗ"</t>
  </si>
  <si>
    <t>Общество с ограниченной ответственностью "Диджитал Лоялти Систем" (ООО "ДЛС")</t>
  </si>
  <si>
    <t>420107, Республика Татарстан, г.Казань, ул. Петербургская, д.52</t>
  </si>
  <si>
    <t>Акционерное общество «Тульская региональная корпорация развития государственно-частного партнерства» (АО «Корпорация развития Тульской области»)</t>
  </si>
  <si>
    <t>300041, г.Тула, ул.Менделеевская, д.4</t>
  </si>
  <si>
    <t>Муниципальное автономное общеобразовательное учреждение "Лицей-интернат №7" Ново-Савиновского района г. Казани (МАОУ "Лицей-интернат №7")</t>
  </si>
  <si>
    <t>Федеральное государственное бюджетное образовательное учреждение высшего  образования "Якутская государственная сельскохозяйственная академия" (ФГБОУ ВО Якутская ГСХА)</t>
  </si>
  <si>
    <t>420124, Республика Татарстан, г. Казань, ул. Четаева, 37 А</t>
  </si>
  <si>
    <t>http://xn---7-7kcsbpcgpzb9aye3c.xn--p1ai/</t>
  </si>
  <si>
    <t>Общество с ограниченной ответственностью «Глобал Дата Консалтинг энд Сервисез»</t>
  </si>
  <si>
    <t>677007, Республика Саха (Якутия), г.Якутск, ш. Сергеляхское 3 км, д.3</t>
  </si>
  <si>
    <t>420029, Республика Татарстан, г. Казань, ул. Сибирский тракт, д.34-1</t>
  </si>
  <si>
    <t>http://ysaa.ru/</t>
  </si>
  <si>
    <t>http://icl-services.com/contacts/</t>
  </si>
  <si>
    <t xml:space="preserve"> Акционерное общество "АйСиЭл - КПО ВС" </t>
  </si>
  <si>
    <t>420029, Республика Татарстан, г.Казань, ул. Сибирский тракт, д. 34</t>
  </si>
  <si>
    <t>http://www.icl.kazan.ru/contacts/</t>
  </si>
  <si>
    <t>Федеральное казенное предприятие «Алексинский химический комбинат»</t>
  </si>
  <si>
    <t>Федеральное государственное бюджетное образовательное учреждение высшего образования «Самарский государственный медицинский университет» Министерства здравоохранения Российской Федерации</t>
  </si>
  <si>
    <t xml:space="preserve">443099, г. Самара, ул. Чапаевская, д.89
</t>
  </si>
  <si>
    <t>Федеральное государственное бюджетное образовательное учреждение высшего образования «Дальневосточный государственный медицинский университет» Министерства здравоохранения Российской Федерации</t>
  </si>
  <si>
    <t xml:space="preserve">680000, г. Хабаровск, ул. Муравьева-Амурского, д.35
</t>
  </si>
  <si>
    <t>Федеральное казенное предприятие «Самарский завод «Коммунар»</t>
  </si>
  <si>
    <t>443546, Волжский район, поселок городского типа Петра Дубрава, ул. Коммунаров, д.3</t>
  </si>
  <si>
    <t>Федеральное государственное бюджетное образовательное учреждение высшего образования «Ярославский государственный педагогический университет им. К.Д. Ушинского»</t>
  </si>
  <si>
    <t>Федеральное государственное автономное образовательное учреждение высшего образования «Самарский национальный исследовательский университет имени академика С.П. Королева»</t>
  </si>
  <si>
    <t>Акционерное общество «179 судоремонтный завод»</t>
  </si>
  <si>
    <t xml:space="preserve">680018,г. Хабаровск, ул. Портовая, д.1
</t>
  </si>
  <si>
    <t>Нет сайта. Контакты:         
Телефон: +7(4212)42-90-02, Факс: +7(4212)42-90-21</t>
  </si>
  <si>
    <t>Филиал Публичного акционерного общества «Компания «Сухой» «Комсомольский - на - Амуре авиационный завод им. Ю.А. Гагарина»</t>
  </si>
  <si>
    <t xml:space="preserve">681018, г. Комсомольск-на-Амуре, ул. Советская, д. 1
</t>
  </si>
  <si>
    <t>Автономная некоммерческая организация "Агентство инвестиций и развития Хабаровского края"</t>
  </si>
  <si>
    <t>680000, г.Хабаровск, ул. Фрунзе, д.22, оф.40</t>
  </si>
  <si>
    <t>Федеральное государственное бюджетное образовательное учреждение высшего образования «Самарский государственный технический университет» (ФГБОУ ВО «СамГТУ» )</t>
  </si>
  <si>
    <t>Федеральное государственное бюджетное образовательное учреждение высшего профессионального образования "Тихоокеанский государственный университет" (ТОГУ)</t>
  </si>
  <si>
    <t>443100, г.Самара, ул.Молодогвардейская, д. 244</t>
  </si>
  <si>
    <t>680000, г.Хабаровск, ул. Тихоокеанская, д.136</t>
  </si>
  <si>
    <t>Федеральное государственное бюджетное образовательное учреждение высшего профессионального образования "Комсомольск-на-Амуре государственный технический университет" (КнАГТУ)</t>
  </si>
  <si>
    <t>681013, Хабаровский край, г.Комсомольск-на-Амуре, пр.Ленина, 27</t>
  </si>
  <si>
    <t>"Р-Фарм"</t>
  </si>
  <si>
    <t>Открытое акционерное общество «Корпорация развития Самарской области»</t>
  </si>
  <si>
    <t>443006, г.Самара, ул. Молодогвардейская, д.210</t>
  </si>
  <si>
    <t>Федеральное государственное бюджетное образовательное учреждение высшего профессионального образования "Хабаровская государственная академия экономики и права" (ХГАЭП)</t>
  </si>
  <si>
    <t>680042, г.Хабаровск, ул.Тихоокеанская, д.134</t>
  </si>
  <si>
    <t>Федеральное государственное бюджетное образовательное учреждение высшего образования «Саратовский государственный медицинский университет имени В. И. Разумовского» Министерства здравоохранения Российской Федерации</t>
  </si>
  <si>
    <t>410012, Саратовская область, г. Саратов, ул. Большая Казачья, д.112</t>
  </si>
  <si>
    <t>Акционерное общество "Газпром газораспределение Дальний Восток"</t>
  </si>
  <si>
    <t>680011, г.Хабаровск, ул. Брестская, д.51</t>
  </si>
  <si>
    <t>http://xn--80aykbs8d.xn--p1ai/about</t>
  </si>
  <si>
    <t>Федеральное государственное бюджетное образовательное учреждение высшего образования «Саратовский национальный исследовательский государственный университет имени Н.Г. Чернышевского»</t>
  </si>
  <si>
    <t>410026, г. Саратов, ул. Астраханская, д.83</t>
  </si>
  <si>
    <t xml:space="preserve">Федеральное государственное бюджетное образовательное учреждение высшего образования «Ярославский государственный медицинский университет» Министерства здравоохранения Российской Федерации </t>
  </si>
  <si>
    <t>Федеральное автономное учреждение "Дальневосточный научно-исследовательский институт рынка" (ФАУ "ДальНИИ рынка")</t>
  </si>
  <si>
    <t>150000, г. Ярославль, ул.Революционная, д.5</t>
  </si>
  <si>
    <t>http://ysmu.ru/index.php/ru/glavnaya/akademiya-segodnya/informatization</t>
  </si>
  <si>
    <t>680000, г.Хабаровск, ул.Запарина, д.67</t>
  </si>
  <si>
    <t>Акционерное общество «Концерн «Калашников»</t>
  </si>
  <si>
    <t>426006, г. Ижевск, проезд им Дерябина, д.3</t>
  </si>
  <si>
    <t xml:space="preserve">Удмуртская Республика </t>
  </si>
  <si>
    <t xml:space="preserve">Федеральное государственное бюджетное учреждение науки Институт горного дела Дальневосточного отделения Российской академии науки </t>
  </si>
  <si>
    <t>680000, г.Хабаровск, ул.Тургенева, д.51</t>
  </si>
  <si>
    <t>Акционерное общество «Ижевский радиозавод» (АО "ИРЗ")</t>
  </si>
  <si>
    <t>426034, Удмуртская Республика, г. Ижевск, ул. Базисная, 19</t>
  </si>
  <si>
    <t>Федеральное государственное бюджетное образовательное учреждение высшего образования «Ульяновский государственный университет»</t>
  </si>
  <si>
    <t>432017,  г. Ульяновск, улица Льва Толстого, д.42</t>
  </si>
  <si>
    <t>Акционерное общество «Государственный научный центр - Научно-исследовательский институт атомных реакторов»</t>
  </si>
  <si>
    <t>433510, г. Димитровград, Западное шоссе, д.9</t>
  </si>
  <si>
    <t>Акционерное общество «Авиастар-СП»</t>
  </si>
  <si>
    <t>432072, г. Ульяновск, проспект Антонова, д.1</t>
  </si>
  <si>
    <t>Федеральное государственное бюджетное образовательное учреждение высшего образования «Астраханский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</si>
  <si>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"Астраханский государственный университет"</t>
  </si>
  <si>
    <t>414056, г.Астрахань, ул.Татищева, д.20А</t>
  </si>
  <si>
    <t>Федеральное государственное бюджетное образовательное учреждение высшего образования «Волгоградский государственный медицинский университет» Министерства здравоохранения Российской Федерации</t>
  </si>
  <si>
    <t>400131, Волгоградская область, г. Волгоград, площадь Павших Борцов, д.1</t>
  </si>
  <si>
    <t>Федеральное государственное бюджетное образовательное учреждение высшего образования "Волгоградский государственный технический университет" (ВолгГТУ)</t>
  </si>
  <si>
    <t>400005, г.Волгоград, проспект им.В.И.Ленина, 28</t>
  </si>
  <si>
    <t>Федеральное государственное бюджетное образовательное учреждение высшего образования «Кубанский государственный медицинский университет» Министерства здравоохранения Российской Федерации</t>
  </si>
  <si>
    <t>350063,Краснодасркий край, г. Краснодар, ул. Седина, д.4</t>
  </si>
  <si>
    <t>Федеральное государственное бюджетное образовательное учреждение высшего образования «Краснодарский государственный институт культуры»</t>
  </si>
  <si>
    <t>350072, г. Краснодар, ул.им.40-летия Победы, д.33</t>
  </si>
  <si>
    <t>Акционерное общество «Новороссийский судоремонтный завод»</t>
  </si>
  <si>
    <t>353902, г. Новороссийск, Сухумское шоссе</t>
  </si>
  <si>
    <t>Федеральное государственное бюджетное образовательное учреждение высшего профессионального образования "Кубанский государственный университет" (ФГБОУ ВО «КубГУ»)</t>
  </si>
  <si>
    <t>350040 г. Краснодар, ул. Ставропольская, д.149</t>
  </si>
  <si>
    <t>https://kubsu.ru/ru/node/3427</t>
  </si>
  <si>
    <t>Общество с ограниченной ответственностью «Атэк-С» (ООО "АТЭК-С")</t>
  </si>
  <si>
    <t>350080, Краснодарский край, г. Краснодар, ул. Заводская, 32, офис 203</t>
  </si>
  <si>
    <t>https://atekgc.ru/vakansii/</t>
  </si>
  <si>
    <t>Федеральное государственное автономное образовательное учреждение высшего образования «Южный федеральный университет»</t>
  </si>
  <si>
    <t xml:space="preserve">344006, г. Ростов-на-Дону, ул. Большая Садовая, д.105, строение 42
</t>
  </si>
  <si>
    <t>Федеральное государственное бюджетное образовательное учреждение высшего образования «Ростовский государственный медицинский университет» Министерства здравоохранения Российской Федерации</t>
  </si>
  <si>
    <t xml:space="preserve">344022, г. Ростов-на-Дону, Нахичеванский переулок, д.29
</t>
  </si>
  <si>
    <t>Федеральное государственное бюджетное образовательное учреждение высшего профессионального образования "Ростовский государственный строительный университет" (РГСУ)</t>
  </si>
  <si>
    <t>344022, Ростовская область, г.Ростов-на-Дону, ул.Социалистическая, д.162</t>
  </si>
  <si>
    <t xml:space="preserve">Публичное акционерное общество «Таганрогский авиационный научно-технический комплекс 
им. Г.М. Бериева»
</t>
  </si>
  <si>
    <t>347923,  г.Таганрог, площадь Авиаторов, д.1</t>
  </si>
  <si>
    <t>Федеральное государственное автономное образовательное учреждение высшего образования «Крымский федеральный университет имени В. И. Вернадского»</t>
  </si>
  <si>
    <t>Федеральное государственное автономное образовательное учреждение высшего образования «Уральский федеральный университет имени первого Президента России Б.Н. Ельцина»</t>
  </si>
  <si>
    <t>620002, г. Екатеринбург, ул. Мира, д.19</t>
  </si>
  <si>
    <t>Акционерное общество «Производственная фирма «СКБ Контур»</t>
  </si>
  <si>
    <t>620017, Свердловская область, г. Екатеринбург, проспект Космонавтов, д. 56</t>
  </si>
  <si>
    <t>Федеральное государственное бюджетное образовательное учреждение высшего образования «Уральский государственный медицинский университет» Министерства здравоохранения Российской Федерации</t>
  </si>
  <si>
    <t>620028, Свердловская область, г. Екатеринбург, ул. Репина, д.3</t>
  </si>
  <si>
    <t>Федеральное государственное бюджетное образовательное учреждение высшего образования «Дагестанский государственный медицинский университет» Министерства здравоохранения Российской Федерации</t>
  </si>
  <si>
    <t>367000, Республика Дагестан, г. Махачкала, площадь Ленина, д.1</t>
  </si>
  <si>
    <t>http://shvabe.com/contacts/</t>
  </si>
  <si>
    <t>Федеральное государственное бюджетное образовательное учреждение высшего образования «Северо-Осетинская государственная медицинская академия»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</si>
  <si>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«Ставропольский государственный медицинский университет» Министерства здравоохранения Российской Федерации</t>
  </si>
  <si>
    <t>355017, Ставропольский край, г. Ставрополь, ул. Мира, д.310</t>
  </si>
  <si>
    <t>Федеральное государственное автономное образовательное учреждение высшего образования «Северо-Кавказский федеральный университет»</t>
  </si>
  <si>
    <t>355029, г. Ставрополь, ул. Пушкина, д.1</t>
  </si>
  <si>
    <t>364051,  г. Грозный, Проспект имени Хусейна Абубакаровича, Исаева, д.100</t>
  </si>
  <si>
    <t>нет сайта.
тел. +(963) 700-49-26</t>
  </si>
  <si>
    <t>Акционерное общество «Научно-производственная корпорация «Уралвагонзавод» им. Ф.Э. Дзержинского</t>
  </si>
  <si>
    <t>622007, Свердловская область, г. Нижний Тагил, Восточное шоссе, д.28</t>
  </si>
  <si>
    <t>Федеральное государственное бюджетное образовательное учреждение высшего образования "Чеченский государственный педагогический университет" (ФГБОУ ВО ЧГПУ)</t>
  </si>
  <si>
    <t>364031, Чеченская Республика, г.Грозный, ул.Киевская, д.33</t>
  </si>
  <si>
    <t>Федеральное государственное автономное образовательное учреждение высшего образования «Тюменский государственный университет»</t>
  </si>
  <si>
    <t xml:space="preserve">625003, г. Тюмень, ул. Володарского, д.6
</t>
  </si>
  <si>
    <t>Акционерное общество «ГМС Нефтемаш»</t>
  </si>
  <si>
    <t xml:space="preserve">625003, г. Тюмень, ул. Военная, д.44
</t>
  </si>
  <si>
    <t>Федеральное государственное бюджетное образовательное учреждение высшего образования «Тюменский государственный медицинский университет» Министерства здравоохранения Российской Федерации</t>
  </si>
  <si>
    <t xml:space="preserve">625023, г. Тюмень, ул. Одесская, д.54
</t>
  </si>
  <si>
    <t>Федеральное государственное бюджетное образовательное учреждение высшего профессионального образования "Тюменский государственный нефтегазовый университет" (ТюмГНГУ)</t>
  </si>
  <si>
    <t>625000, г.Тюмень, ул.Володарского, 38</t>
  </si>
  <si>
    <t>Публичное акционерное общество «СИБУР Холдинг»</t>
  </si>
  <si>
    <t xml:space="preserve">626150, г. Тобольск, территория Восточный промышленный район, квартал 1-й, д.6, строение 30 
</t>
  </si>
  <si>
    <t xml:space="preserve">Федеральное государственное бюджетное учреждение науки Тобольская комплексная научная станция Уральского отделения Российской академии наук </t>
  </si>
  <si>
    <t xml:space="preserve">626152 Тюменская обл., 
г. Тобольск, ул. имени академика Юрия Осипова, д.15 </t>
  </si>
  <si>
    <t xml:space="preserve">Федеральное государственное автономное образовательное учреждение высшего образования «Южно-Уральский государственный университет (национальный исследовательский университет)» </t>
  </si>
  <si>
    <t>454080,  г. Челябинск, проспект Ленина, д.76</t>
  </si>
  <si>
    <t>Федеральное государственное бюджетное образовательное учреждение высшего образования «Южно-Уральский государственный медицинский университет» Министерства здравоохранения Российской Федерации</t>
  </si>
  <si>
    <t>454092, г. Челябинск, Воровского, д.64</t>
  </si>
  <si>
    <t>Федеральное государственное бюджетное образовательное учреждение высшего образования «Магнитогорский государственный технический университет им. Г.И. Носова»</t>
  </si>
  <si>
    <t>455000, г. Магнитогорск, проспект Ленина, д.38</t>
  </si>
  <si>
    <t>http://www.ugold.ru/ru/</t>
  </si>
  <si>
    <t>Публичное акционерное общество "Северский трубный завод"</t>
  </si>
  <si>
    <t>623388, Свердловская обл., г.Полевской, ул. Вершинина, д. 7</t>
  </si>
  <si>
    <t>http://rostgmu.ru/sveden/common</t>
  </si>
  <si>
    <t>http://cfuv.ru/</t>
  </si>
  <si>
    <t>Федеральное государственное автономное образовательное учреждение высшего образования «Белгородский государственный национальный исследовательский университет»</t>
  </si>
  <si>
    <t>309850, Алексеевский район, 
г. Алексеевка, ул. Фрунзе, д.2</t>
  </si>
  <si>
    <t>150000, г. Ярославль, ул. Республиканская, д.108/1</t>
  </si>
  <si>
    <t>301361, Алексинский район, г. Алексин, площадь Победы, д.21</t>
  </si>
  <si>
    <t>300004, г. Тула, ул. Щегловская засека, д.33</t>
  </si>
  <si>
    <t>300001, г. Тула, Щегловская засека, д.59</t>
  </si>
  <si>
    <t>390026, г. Рязань, ул. Высоковольтная, д.9</t>
  </si>
  <si>
    <t>398020, г.Липецк, ул.Ленина, 42</t>
  </si>
  <si>
    <t>153003,г. Иваново, ул. Рабфаковская, д.34</t>
  </si>
  <si>
    <t>117303, г. Москва, ул. Керченская, д1А, строение 1</t>
  </si>
  <si>
    <t>Государственное научное учреждение   Всероссийский научно-исследовательский институт организации производства, труда и управления в сельском хозяйстве Российской академии сельскохозяйственных наук</t>
  </si>
  <si>
    <t>127994, г. Москва, 
ул. Образцова, д.9, стр.9</t>
  </si>
  <si>
    <t>123154, г. Москва, бульвар генерала Карбышева, д.8, строение 4</t>
  </si>
  <si>
    <t>123995, г. Москва, ул. Баррикадная, д.2/1, стр.2</t>
  </si>
  <si>
    <t>121357, г. Москва, ул. Верейская, д.29, стр.141</t>
  </si>
  <si>
    <t>123182, г. Москва, ул. Щукинская, д.1</t>
  </si>
  <si>
    <t>123098, г. Москва, ул. Гамалеи, д. 18</t>
  </si>
  <si>
    <t>119019, г. Москва, ул. Воздвиженка, д.3/5</t>
  </si>
  <si>
    <t>101000, г. Москва, ул. Мясницкая, д.20</t>
  </si>
  <si>
    <t>163000, г. Архангельск, Троицкий просп., д. 51</t>
  </si>
  <si>
    <t xml:space="preserve">
Федеральное государственное бюджетное учреждение науки Институт биологии Карельского научного центра Российской академии наук (ИБ КАРНЦ РАН)</t>
  </si>
  <si>
    <t>Федеральное государственное бюджетное образовательное учреждение высшего образования «Ухтинский государственный технический университет» (УГТУ)</t>
  </si>
  <si>
    <t>236041, г. Калининград, ул. А. Невского, д.14</t>
  </si>
  <si>
    <t xml:space="preserve">Федеральное государственное бюджетное учреждение науки Институт оптики атмосферы им. В.Е. Зуева Сибирского отделения Российской академии наук (ИОА СО РАН) </t>
  </si>
  <si>
    <t>674673, Краснокаменский район, г. Краснокаменск, проспект Строителей, д.11</t>
  </si>
  <si>
    <t>672090,г. Чита, ул. Горького, д.39А</t>
  </si>
  <si>
    <t>672039, г. Чита, ул. Александро-Заводская, д.30</t>
  </si>
  <si>
    <t>664079, г. Иркутск, микрорайон Юбилейный, д.100</t>
  </si>
  <si>
    <t>664074, г. Иркутск, ул. Лермонтова, д.83</t>
  </si>
  <si>
    <t>660014, г. Красноярск, проспект им. газеты «Красноярский рабочий», д.31</t>
  </si>
  <si>
    <t>630051,г. Новосибирск, ул. Ползунова, д.15</t>
  </si>
  <si>
    <t>630090, г. Новосибирск, 
ул. Пирогова, д.2</t>
  </si>
  <si>
    <t>634055, г. Томск, проспект Развития, д.3, офис 522</t>
  </si>
  <si>
    <t>644046, г. Омск, проспект Карла Маркса, д.35</t>
  </si>
  <si>
    <t>443086, г. Самара, Московское шоссе, д.34</t>
  </si>
  <si>
    <t>422546, Зеленодольский район, г. Зеленодольск, ул. Ленина, д.41А</t>
  </si>
  <si>
    <t>420500, Республика Татарстан, район Верхнеуслонский, г. Иннополис, ул. Университетская, д. 1</t>
  </si>
  <si>
    <t>450077, г. Уфа, ул. Карла Маркса, д. 30, к.1</t>
  </si>
  <si>
    <t>614113, г. Пермь, Гальперина, д.6</t>
  </si>
  <si>
    <t>614990, г. Пермь, Комсомольский проспект, д.29</t>
  </si>
  <si>
    <t>614990, г. Пермь, ул. Петропавловская, д.26</t>
  </si>
  <si>
    <t>440060, г. Пенза, ул. Стасова, д.8А</t>
  </si>
  <si>
    <t>Федеральное государственное бюджетное образовательное учреждение высшего образования «Нижегородский государственный технический университет им. Р.Е. Алексеева»</t>
  </si>
  <si>
    <t>420111,  г. Казань, ул. Карла Маркса, 
д. 10</t>
  </si>
  <si>
    <t>420036, г. Казань, ул. Дементьева, д.1</t>
  </si>
  <si>
    <t>423236, г. Бугульма, ул. Климента Ворошилова, д.21</t>
  </si>
  <si>
    <t>423827,  г. Набережные Челны, 
пр. Автозаводский, д.2</t>
  </si>
  <si>
    <t>450039,  г. Уфа, ул. Ферина, д.2</t>
  </si>
  <si>
    <t>450000, г. Уфа, ул. Карла Маркса, д.12</t>
  </si>
  <si>
    <t>614990, г. Пермь, ул. Букирева, д.15</t>
  </si>
  <si>
    <t>614990, г. Пермь, Комсомольский проспект, д.93, корпус 61</t>
  </si>
  <si>
    <t>Федеральное государственное бюджетное образовательное учреждение высшего образования «Кабардино-Балкарский государственный университет им. Х.М. Бербекова»</t>
  </si>
  <si>
    <t>Федеральное государственное бюджетное образовательное учреждение высшего образования «Грозненский государственный нефтяной технический университет имени академика 
М.Д. Миллионщикова»</t>
  </si>
  <si>
    <t>360004,  г. Нальчик, 
ул. Чернышевского, д.173</t>
  </si>
  <si>
    <t>362019, Республика Северная Осетия-Алания, г. Владикавказ, ул. Пушкинская, д.40</t>
  </si>
  <si>
    <t>Федеральное государственное бюджетное учреждение культуры «Государственный историко-художественный и литературный музей-заповедник «Абрамцево»</t>
  </si>
  <si>
    <t>141352, Московская область, Сергиево-Посадский район, с.Абрамцево, ул.Музейная, д.1</t>
  </si>
  <si>
    <t>http://www.abramtsevo.net/kontakti/kontakti.html</t>
  </si>
  <si>
    <t>http://www.skoltech.ru/about/join-staff/</t>
  </si>
  <si>
    <t>https://hh.ru/employer/976931</t>
  </si>
  <si>
    <t>Акционерное общество "Байкал Электроникс"</t>
  </si>
  <si>
    <t>143421, Московская область, Красногорский район, автодорога Балтия, территория 26 км бизнес-центр Рига-Ленд, стр. Б2</t>
  </si>
  <si>
    <t>https://www.baikalelectronics.ru/</t>
  </si>
  <si>
    <t>https://hh.ru/employer/1188681</t>
  </si>
  <si>
    <t>Общество с ограниченной ответственностью "Центр морских исследований МГУ имени М.В. Ломоносова"</t>
  </si>
  <si>
    <t>119992, г.Москва, ул. Ленинские Горы, вл.1, стр.77, Научный парк МГУ, оф.104</t>
  </si>
  <si>
    <t>http://www.marine-rc.ru/o-kompanii/</t>
  </si>
  <si>
    <t>https://hh.ru/employer/3029699</t>
  </si>
  <si>
    <t>Общество с ограниченной ответственностью "КБ Стрелка"</t>
  </si>
  <si>
    <t>119072, г.Москва, Берсеневская набережная, д.14, стр.5А</t>
  </si>
  <si>
    <t>http://strelka-kb.com/</t>
  </si>
  <si>
    <t>https://hh.ru/employer/1292067</t>
  </si>
  <si>
    <t>Федеральное государственное бюджетное образовательное учреждение высшего образования "Московский политехнический университет"</t>
  </si>
  <si>
    <t>107023, г. Москва, ул. Семёновская Б., д. 38</t>
  </si>
  <si>
    <t>http://mospolytech.ru/</t>
  </si>
  <si>
    <t>https://hh.ru/employer/1118324</t>
  </si>
  <si>
    <t>Федеральное государственное бюджетное учреждение «Федеральное бюро медико-социальной экспертизы» Министерства труда и социальной защиты Российской Федерации</t>
  </si>
  <si>
    <t>127486, г.Москва, ул.Ивана Сусанина, 3</t>
  </si>
  <si>
    <t>http://fbmse.ru/vakansii</t>
  </si>
  <si>
    <t>Общество с ограниченной ответственностью "ЦентрТехФорм"</t>
  </si>
  <si>
    <t>127282, г.Москва, Чермянский проезд, д.7, стр.1</t>
  </si>
  <si>
    <t>http://ctf-russia.ru/about/</t>
  </si>
  <si>
    <t>https://hh.ru/employer/1467946</t>
  </si>
  <si>
    <t>Общество с ограниченной ответственностью "Универсальная финансовая система"</t>
  </si>
  <si>
    <t>119019, г.Москва, ул. Новый Арбат, д.21</t>
  </si>
  <si>
    <t>https://www.ufs-online.ru/</t>
  </si>
  <si>
    <t>https://hh.ru/employer/51162</t>
  </si>
  <si>
    <t>Федеральное государственное бюджетное учреждение "Всероссийский научно-исследовательский институт охраны окружающей среды"</t>
  </si>
  <si>
    <t>117042, г.Москва, км. Мкад 36-Й, влд. 1 стр. 5</t>
  </si>
  <si>
    <t>http://www.vniiecology.ru/index.php/institut/vnii-ekologiya/istoriya-instituta</t>
  </si>
  <si>
    <t>Федеральное государственное унитарное предприятие «Научно-производственное объединение «Техномаш»</t>
  </si>
  <si>
    <t>127018, г. Москва, Марьиной Рощи 3-й проезд, д.40</t>
  </si>
  <si>
    <t>http://www.tmnpo.ru/</t>
  </si>
  <si>
    <t>Акционерное общество «ПСН»</t>
  </si>
  <si>
    <t>115114,г. Москва, Дербеневская набержная, д. 7, стр. 10</t>
  </si>
  <si>
    <t>https://www.psngroup.ru/about/</t>
  </si>
  <si>
    <t>https://hh.ru/employer/3476</t>
  </si>
  <si>
    <t>Общество с ограниченной ответственностью «Научно-исследовательский институт трубопроводного транспорта»</t>
  </si>
  <si>
    <t>117186, г.Москва, Севастопольский проспект, д.47А</t>
  </si>
  <si>
    <t>http://niitn.transneft.ru/about</t>
  </si>
  <si>
    <t>Федеральное государственное автономное образовательное учреждение высшего образования «Московский государственный институт международных отношений (университет) Министерства иностранных дел Российской Федерации»</t>
  </si>
  <si>
    <t>119454, г.Москва, проспект Вернадского, д.76</t>
  </si>
  <si>
    <t>https://mgimo.ru/</t>
  </si>
  <si>
    <t>Федеральное государственное бюджетное учреждение культуры "Всероссийский музей декоративно-прикладного и народного искусства" (ВМДПНИ)</t>
  </si>
  <si>
    <t>127473, г. Москва, ул. Делегатская, д.3</t>
  </si>
  <si>
    <t>http://www.vmdpni.ru/</t>
  </si>
  <si>
    <t>Федеральное государственное бюджетное учреждение культуры "Государственный исторический музей" (Исторический музей)</t>
  </si>
  <si>
    <t>109012, г. Москва, Красная площадь, д.1</t>
  </si>
  <si>
    <t>http://www.shm.ru/</t>
  </si>
  <si>
    <t>Федеральное государственное бюджетное учреждение культуры "Государственный музей искусства народов Востока" (Государственный музей Востока)</t>
  </si>
  <si>
    <t>119019, г. Москва, Никитский бульвар, д.12А</t>
  </si>
  <si>
    <t>http://www.orientmuseum.ru/</t>
  </si>
  <si>
    <t>Федеральное государственное бюджетное учреждение культуры "Государственный центральный театральный музей имени А.А. Бахрушина" (Театральный музей им. А.А. Бахрушина)</t>
  </si>
  <si>
    <t>115054, г. Москва, ул. Бахрушина, д.31/12</t>
  </si>
  <si>
    <t>http://www.gctm.ru/</t>
  </si>
  <si>
    <t>Федеральное государственное бюджетное учреждение культуры "Всероссийское музейное объединение музыкальной культуры имени М.И. Глинки" (ВМОМК имени М. И. Глинки)</t>
  </si>
  <si>
    <t>125047, Москва, ул. Фадеева, д.4</t>
  </si>
  <si>
    <t>http://glinka.museum/</t>
  </si>
  <si>
    <t xml:space="preserve">Федеральное государственное бюджетное учреждение культуры «Государственный музейно-выставочный центр «РОСИЗО» 
</t>
  </si>
  <si>
    <t>109387, г. Москва, Люблинская ул., д. 48, стр. 1</t>
  </si>
  <si>
    <t>http://www.rosizo.ru/</t>
  </si>
  <si>
    <t>Федеральное государственное бюджетное учреждение культуры «Центральный музей Великой Отечественной войны 1941-1945 гг.»</t>
  </si>
  <si>
    <t>121170, г. Москва, ул. Братьев Фонченко, д.10</t>
  </si>
  <si>
    <t>http://victorymuseum.ru/</t>
  </si>
  <si>
    <t>Федеральное государственное бюджетное учреждение "Всероссийский научно-исследовательский институт труда" Министерства труда и социальной защиты Российской Федерации</t>
  </si>
  <si>
    <t>105043, г.Москва, ул. 4-я Парковая, д.29</t>
  </si>
  <si>
    <t>http://www.vcot.info/</t>
  </si>
  <si>
    <t>Общество с ограниченной ответственностью "МетроТрансМост"</t>
  </si>
  <si>
    <t>117246, г. Москва, Научный проезд, д.19, помещ. 26</t>
  </si>
  <si>
    <t>http://mtmost.ru/main/</t>
  </si>
  <si>
    <t>https://hh.ru/employer/2812958</t>
  </si>
  <si>
    <t>Медиина</t>
  </si>
  <si>
    <t>119991, г. Москва, Ломоносовский проспект, д.2, стр.1</t>
  </si>
  <si>
    <t>http://www.nczd.ru/node/1</t>
  </si>
  <si>
    <t>Федеральное государственное бюджетное учреждение культуры "Музей Мирового океана"</t>
  </si>
  <si>
    <t>236006, Калининградская область, г. Калининград, набережная Петра Великого, 1</t>
  </si>
  <si>
    <t>http://world-ocean.ru/ru/</t>
  </si>
  <si>
    <t>Федеральное государственное бюджетное учреждение «Санкт-Петербургский научно-практический центр медико-социальной экспертизы, протезирования и реабилитации инвалидов им. Г.А. Альбрехта» Министерства труда и социальной защиты Российской Федерации</t>
  </si>
  <si>
    <t>195067, г.Санкт-Петербург, ул. Бестужевская, д.50</t>
  </si>
  <si>
    <t>http://www.center-albreht.ru/about_the_center/vakansii/</t>
  </si>
  <si>
    <t>Федеральное государственное бюджетное учреждение дополнительного профессионального образования «Санкт-Петербургский институт усовершенствования врачей-экспертов» Министерства труда и социальной защиты Российской Федерации</t>
  </si>
  <si>
    <t>194044, г.Санкт-Петербург, Большой Сампсониевский пр., д. 11/12</t>
  </si>
  <si>
    <t>http://spbiuvek.ru/index.php?lng=ru</t>
  </si>
  <si>
    <t>Общество с ограниченной ответственностью «Газпромнефть Научно-Технический Центр»</t>
  </si>
  <si>
    <t>190000, г.Санкт-Петербург, наб. реки Мойки, д.75-79, литер Д</t>
  </si>
  <si>
    <t>http://ntc.gazprom-neft.ru/</t>
  </si>
  <si>
    <t>Федеральное государственное бюджетное образовательное учреждение высшего образования «Санкт-Петербургский государственный университет промышленных технологий и дизайна»</t>
  </si>
  <si>
    <t>191186, г.Санкт-Петербург, ул.Большая Морская, д.18</t>
  </si>
  <si>
    <t>http://sutd.ru/</t>
  </si>
  <si>
    <t>Публичное акционерное общество междугородной и международной электрической связи «Ростелеком»</t>
  </si>
  <si>
    <t>191002, г. Санкт-Петербург, ул. Достоевского, д. 15</t>
  </si>
  <si>
    <t>https://mosoblast.rt.ru</t>
  </si>
  <si>
    <t>https://hh.ru/employer/2748</t>
  </si>
  <si>
    <t>Общество с ограниченной ответственностью «А+С Транспроект»</t>
  </si>
  <si>
    <t>191014, г.Санкт-Петербург, Саперный пер., д.5А, Лит. Б</t>
  </si>
  <si>
    <t>http://apluss.ru/jobs</t>
  </si>
  <si>
    <t>Федеральное государственное бюджетное учреждение культуры «Государственный историко-архитектурный и этнографический музей-заповедник «Кижи»</t>
  </si>
  <si>
    <t>185035, Республика Карелия, г.Петрозаводск, площадь Кирова, д.10"а"</t>
  </si>
  <si>
    <t>http://kizhi.karelia.ru/info/en/about/contacts</t>
  </si>
  <si>
    <t>Общество с ограниченной ответственностью "Альтаир"</t>
  </si>
  <si>
    <t>634062, г.Томск, Иркутский тракт, д.71 Д, оф. 4002</t>
  </si>
  <si>
    <t>http://www.altairoil.ru/ru/contacts/</t>
  </si>
  <si>
    <t>https://tomsk.hh.ru/employer/1154125</t>
  </si>
  <si>
    <t>Общество с ограниченной ответственностью "Архитектурный офис 1ЛН-ГРУП "ПЕРВАЯ ЛИНИЯ"</t>
  </si>
  <si>
    <t>660100, Красноярский край, г. Красноярск, ул. Академика Киренского, 56а, помещение 82</t>
  </si>
  <si>
    <t>http://1ln.ru/about</t>
  </si>
  <si>
    <t>Федеральное государственное бюджетное учреждение «Новокузнецкий научно-практический центр медико-социальной экспертизы и реабилитации инвалидов» Министерства труда и социальной защиты Российской Федерации</t>
  </si>
  <si>
    <t>654055, Кемеровская область, г.Новокузнецк, ул. Малая, д.7</t>
  </si>
  <si>
    <t>http://reabil-nk.ru/%D0%B2%D0%B0%D0%BA%D0%B0%D0%BD%D1%81%D0%B8%D0%B8/</t>
  </si>
  <si>
    <t>Общество с ограниченной ответственностью "Брайт Студио"</t>
  </si>
  <si>
    <t>445043, Самарская область, г. Тольятти, Южное шоссе, д.161, комната 4</t>
  </si>
  <si>
    <t>http://brightstudio.ru/contacts/</t>
  </si>
  <si>
    <t>https://togliatti.hh.ru/employer/778912</t>
  </si>
  <si>
    <t>Муниципальное Автономное Общеобразовательное Учреждение «Гимназия-интернат №4» Кировского района г.Казани</t>
  </si>
  <si>
    <t>420102, Республика Татарстан, г. Казань, ул. Галимджана Баруди, 3а</t>
  </si>
  <si>
    <t>http://litsey4.ru/%D0%B3%D0%B8%D0%BC%D0%BD%D0%B0%D0%B7%D0%B8%D1%8F/</t>
  </si>
  <si>
    <t xml:space="preserve">
ООО «Нефтекамский машиностроительный завод специальной техники»</t>
  </si>
  <si>
    <t>452680, Республика Башкортостан, г.Нефтекамск,
ул.Магистральная, 19</t>
  </si>
  <si>
    <t>https://nkmzst.ru/</t>
  </si>
  <si>
    <t>https://hh.ru/employer/2843663</t>
  </si>
  <si>
    <t>Федеральное государственное бюджетное учреждение «Уральский государственный научно-исследовательский институт региональных экологических проблем»</t>
  </si>
  <si>
    <t>614039, г.Пермь, Комсомольский проспект, д.61а</t>
  </si>
  <si>
    <t>http://ecologyperm.ru/</t>
  </si>
  <si>
    <t>Федеральное государственное бюджетное учреждение культуры "Государственный Ростово-Ярославский архитектурно-художественный музей-заповедник"</t>
  </si>
  <si>
    <t>152155, Ростовский район, г. Ростов, ул. Кремль</t>
  </si>
  <si>
    <t>http://www.rostmuseum.ru/Page?pageName=contacts</t>
  </si>
  <si>
    <t>Общество с ограниченной ответственностью "Технологическая компания Шлюмберже"</t>
  </si>
  <si>
    <t>625009, г.Тюмень, ул. 50 лет Октября, д.14</t>
  </si>
  <si>
    <t>http://www.slb.ru/careers/</t>
  </si>
  <si>
    <t>https://hh.ru/employer/2791#vacancy-list</t>
  </si>
  <si>
    <t>Общество с ограниченной ответственностью "Панлантик"</t>
  </si>
  <si>
    <t>455021, Челябинская область, г.Магнитогорск, Сиреневый пр., д.30, оф. 95</t>
  </si>
  <si>
    <t>Общество с ограниченной ответственностью "Архитектурная мастерская "Пинар"</t>
  </si>
  <si>
    <t>454048, Челябинская область, г. Челябинск, ул. Сони Кривой, д. 67, А</t>
  </si>
  <si>
    <t>Общество с ограниченной ответственностью «Кавминводы-Аква»</t>
  </si>
  <si>
    <t>357500, г. Пятигорск, ул. Крайнего, д.2 А, 310а</t>
  </si>
  <si>
    <t>http://xn--80acceyltee1alk.xn--p1ai/</t>
  </si>
  <si>
    <t xml:space="preserve"> Общество с ограниченной ответственностью "Медицинский центр "Новая Эра" (ООО "Медицинский центр "Новая Эра")</t>
  </si>
  <si>
    <t>394042, г.Воронеж, ул.Минская, д.83</t>
  </si>
  <si>
    <t>https://eranew-med.ru/</t>
  </si>
  <si>
    <t xml:space="preserve">Федеральное государственное автономное учреждение «Национальный медицинский исследовательский центр здоровья детей» Министерства здравоохранения Российской Федерации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</si>
</sst>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FF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Calibri"/>
      <family val="2"/>
      <charset val="204"/>
    </font>
    <font>
      <u/>
      <sz val="11"/>
      <color rgb="FF0000FF"/>
      <name val="Times New Roman"/>
      <family val="1"/>
      <charset val="204"/>
    </font>
    <font>
      <u/>
      <sz val="11"/>
      <color rgb="FF0000FF"/>
      <name val="Times New Roman"/>
      <family val="1"/>
      <charset val="204"/>
    </font>
    <font>
      <u/>
      <sz val="11"/>
      <color rgb="FF0000FF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rgb="FF0000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rgb="FF0000FF"/>
      <name val="Times New Roman"/>
      <family val="1"/>
      <charset val="204"/>
    </font>
    <font>
      <u/>
      <sz val="11"/>
      <color rgb="FF0000FF"/>
      <name val="Times New Roman"/>
      <family val="1"/>
      <charset val="204"/>
    </font>
    <font>
      <u/>
      <sz val="11"/>
      <color rgb="FF0000FF"/>
      <name val="Times New Roman"/>
      <family val="1"/>
      <charset val="204"/>
    </font>
    <font>
      <u/>
      <sz val="11"/>
      <color rgb="FF0000FF"/>
      <name val="Times New Roman"/>
      <family val="1"/>
      <charset val="204"/>
    </font>
    <font>
      <u/>
      <sz val="11"/>
      <color rgb="FF0000FF"/>
      <name val="Times New Roman"/>
      <family val="1"/>
      <charset val="204"/>
    </font>
    <font>
      <u/>
      <sz val="11"/>
      <color rgb="FF0000FF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rgb="FF0000FF"/>
      <name val="Times New Roman"/>
      <family val="1"/>
      <charset val="204"/>
    </font>
    <font>
      <u/>
      <sz val="11"/>
      <color rgb="FF0000FF"/>
      <name val="Times New Roman"/>
      <family val="1"/>
      <charset val="204"/>
    </font>
    <font>
      <u/>
      <sz val="11"/>
      <color rgb="FF0000FF"/>
      <name val="Times New Roman"/>
      <family val="1"/>
      <charset val="204"/>
    </font>
    <font>
      <sz val="10"/>
      <name val="Calibri"/>
      <family val="2"/>
      <charset val="204"/>
    </font>
    <font>
      <u/>
      <sz val="11"/>
      <color rgb="FF000000"/>
      <name val="Calibri"/>
      <family val="2"/>
      <charset val="204"/>
    </font>
    <font>
      <u/>
      <sz val="11"/>
      <color rgb="FF0000FF"/>
      <name val="Times New Roman"/>
      <family val="1"/>
      <charset val="204"/>
    </font>
    <font>
      <sz val="11"/>
      <color rgb="FF1155CC"/>
      <name val="Calibri"/>
      <family val="2"/>
      <charset val="204"/>
    </font>
    <font>
      <u/>
      <sz val="11"/>
      <color rgb="FF0000FF"/>
      <name val="Times New Roman"/>
      <family val="1"/>
      <charset val="204"/>
    </font>
    <font>
      <u/>
      <sz val="11"/>
      <color rgb="FF0000FF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8"/>
      <name val="Times New Roman"/>
      <family val="1"/>
      <charset val="204"/>
    </font>
    <font>
      <sz val="11"/>
      <color rgb="FF000000"/>
      <name val="Calibri"/>
      <family val="2"/>
      <charset val="204"/>
    </font>
    <font>
      <u/>
      <sz val="11"/>
      <color theme="10"/>
      <name val="Times New Roman"/>
      <family val="1"/>
      <charset val="204"/>
    </font>
    <font>
      <sz val="11"/>
      <color theme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CCCCCC"/>
        <bgColor rgb="FFCCCCCC"/>
      </patternFill>
    </fill>
    <fill>
      <patternFill patternType="solid">
        <fgColor rgb="FFFCFCFC"/>
        <bgColor rgb="FFFCFCFC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165">
    <xf numFmtId="0" fontId="0" fillId="0" borderId="0" xfId="0" applyFont="1" applyAlignment="1"/>
    <xf numFmtId="0" fontId="0" fillId="0" borderId="0" xfId="0" applyFont="1"/>
    <xf numFmtId="0" fontId="0" fillId="0" borderId="0" xfId="0" applyFont="1"/>
    <xf numFmtId="0" fontId="2" fillId="0" borderId="0" xfId="0" applyFont="1"/>
    <xf numFmtId="0" fontId="5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9" fillId="2" borderId="0" xfId="0" applyFont="1" applyFill="1" applyAlignment="1">
      <alignment wrapText="1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1" fillId="4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wrapText="1"/>
    </xf>
    <xf numFmtId="0" fontId="11" fillId="4" borderId="1" xfId="0" applyFont="1" applyFill="1" applyBorder="1" applyAlignment="1">
      <alignment horizontal="center" wrapText="1"/>
    </xf>
    <xf numFmtId="0" fontId="1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left" wrapText="1"/>
    </xf>
    <xf numFmtId="0" fontId="11" fillId="3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14" fillId="2" borderId="1" xfId="0" applyFont="1" applyFill="1" applyBorder="1" applyAlignment="1">
      <alignment wrapText="1"/>
    </xf>
    <xf numFmtId="0" fontId="0" fillId="0" borderId="0" xfId="0" applyFont="1" applyAlignment="1"/>
    <xf numFmtId="0" fontId="15" fillId="0" borderId="1" xfId="0" applyFont="1" applyBorder="1" applyAlignment="1">
      <alignment horizontal="left" wrapText="1"/>
    </xf>
    <xf numFmtId="0" fontId="0" fillId="0" borderId="0" xfId="0" applyFont="1" applyAlignment="1"/>
    <xf numFmtId="0" fontId="9" fillId="0" borderId="1" xfId="0" applyFont="1" applyBorder="1" applyAlignment="1">
      <alignment horizontal="left" wrapText="1"/>
    </xf>
    <xf numFmtId="0" fontId="9" fillId="2" borderId="1" xfId="0" applyFont="1" applyFill="1" applyBorder="1" applyAlignment="1">
      <alignment wrapText="1"/>
    </xf>
    <xf numFmtId="0" fontId="12" fillId="0" borderId="0" xfId="0" applyFont="1" applyAlignment="1"/>
    <xf numFmtId="0" fontId="7" fillId="2" borderId="2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0" fontId="9" fillId="0" borderId="1" xfId="0" applyFont="1" applyBorder="1" applyAlignment="1">
      <alignment horizontal="left" wrapText="1"/>
    </xf>
    <xf numFmtId="0" fontId="19" fillId="0" borderId="1" xfId="0" applyFont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12" fillId="0" borderId="0" xfId="0" applyFont="1"/>
    <xf numFmtId="0" fontId="12" fillId="0" borderId="0" xfId="0" applyFont="1" applyAlignment="1">
      <alignment horizontal="left"/>
    </xf>
    <xf numFmtId="0" fontId="19" fillId="2" borderId="1" xfId="0" applyFont="1" applyFill="1" applyBorder="1" applyAlignment="1">
      <alignment wrapText="1"/>
    </xf>
    <xf numFmtId="0" fontId="21" fillId="5" borderId="0" xfId="0" applyFont="1" applyFill="1" applyAlignment="1">
      <alignment wrapText="1"/>
    </xf>
    <xf numFmtId="0" fontId="9" fillId="2" borderId="1" xfId="0" applyFont="1" applyFill="1" applyBorder="1" applyAlignment="1">
      <alignment wrapText="1"/>
    </xf>
    <xf numFmtId="0" fontId="22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18" fillId="2" borderId="1" xfId="0" applyFont="1" applyFill="1" applyBorder="1" applyAlignment="1">
      <alignment wrapText="1"/>
    </xf>
    <xf numFmtId="0" fontId="23" fillId="0" borderId="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9" fillId="2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16" fillId="0" borderId="1" xfId="0" applyFont="1" applyBorder="1"/>
    <xf numFmtId="0" fontId="25" fillId="0" borderId="1" xfId="0" applyFont="1" applyBorder="1" applyAlignment="1">
      <alignment wrapText="1"/>
    </xf>
    <xf numFmtId="0" fontId="16" fillId="0" borderId="1" xfId="0" applyFont="1" applyBorder="1" applyAlignment="1"/>
    <xf numFmtId="0" fontId="9" fillId="0" borderId="1" xfId="0" applyFont="1" applyBorder="1"/>
    <xf numFmtId="0" fontId="26" fillId="2" borderId="0" xfId="0" applyFont="1" applyFill="1" applyAlignment="1">
      <alignment wrapText="1"/>
    </xf>
    <xf numFmtId="0" fontId="7" fillId="2" borderId="1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27" fillId="0" borderId="1" xfId="0" applyFont="1" applyBorder="1"/>
    <xf numFmtId="0" fontId="9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9" fillId="2" borderId="1" xfId="0" applyFont="1" applyFill="1" applyBorder="1" applyAlignment="1">
      <alignment wrapText="1"/>
    </xf>
    <xf numFmtId="0" fontId="12" fillId="0" borderId="0" xfId="0" applyFont="1" applyAlignment="1">
      <alignment horizontal="left"/>
    </xf>
    <xf numFmtId="0" fontId="7" fillId="2" borderId="3" xfId="0" applyFont="1" applyFill="1" applyBorder="1" applyAlignment="1">
      <alignment horizontal="left" wrapText="1"/>
    </xf>
    <xf numFmtId="0" fontId="18" fillId="0" borderId="1" xfId="0" applyFont="1" applyBorder="1" applyAlignment="1">
      <alignment wrapText="1"/>
    </xf>
    <xf numFmtId="0" fontId="7" fillId="0" borderId="4" xfId="0" applyFont="1" applyBorder="1" applyAlignment="1">
      <alignment horizontal="left" wrapText="1"/>
    </xf>
    <xf numFmtId="0" fontId="7" fillId="0" borderId="4" xfId="0" applyFont="1" applyBorder="1" applyAlignment="1">
      <alignment horizontal="left"/>
    </xf>
    <xf numFmtId="0" fontId="7" fillId="2" borderId="4" xfId="0" applyFont="1" applyFill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horizontal="center" vertical="center"/>
    </xf>
    <xf numFmtId="0" fontId="9" fillId="0" borderId="1" xfId="0" applyFont="1" applyBorder="1" applyAlignment="1">
      <alignment wrapText="1"/>
    </xf>
    <xf numFmtId="0" fontId="9" fillId="0" borderId="1" xfId="0" applyFont="1" applyBorder="1"/>
    <xf numFmtId="0" fontId="0" fillId="0" borderId="0" xfId="0" applyFont="1" applyAlignment="1">
      <alignment horizontal="center" vertical="center"/>
    </xf>
    <xf numFmtId="0" fontId="28" fillId="2" borderId="0" xfId="0" applyFont="1" applyFill="1" applyAlignment="1">
      <alignment wrapText="1"/>
    </xf>
    <xf numFmtId="0" fontId="29" fillId="2" borderId="1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7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0" fontId="30" fillId="0" borderId="0" xfId="0" applyFont="1" applyAlignment="1"/>
    <xf numFmtId="0" fontId="3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2" fillId="0" borderId="1" xfId="0" applyFont="1" applyBorder="1" applyAlignment="1">
      <alignment wrapText="1"/>
    </xf>
    <xf numFmtId="0" fontId="12" fillId="0" borderId="0" xfId="0" applyFont="1" applyAlignment="1">
      <alignment wrapText="1"/>
    </xf>
    <xf numFmtId="0" fontId="8" fillId="0" borderId="0" xfId="0" applyFont="1"/>
    <xf numFmtId="0" fontId="5" fillId="0" borderId="0" xfId="0" applyFont="1" applyAlignment="1">
      <alignment horizontal="center" vertical="center"/>
    </xf>
    <xf numFmtId="0" fontId="33" fillId="0" borderId="0" xfId="0" applyFont="1"/>
    <xf numFmtId="0" fontId="9" fillId="0" borderId="0" xfId="0" applyFont="1"/>
    <xf numFmtId="0" fontId="9" fillId="2" borderId="1" xfId="0" applyFont="1" applyFill="1" applyBorder="1"/>
    <xf numFmtId="0" fontId="18" fillId="2" borderId="1" xfId="0" applyFont="1" applyFill="1" applyBorder="1" applyAlignment="1">
      <alignment wrapText="1"/>
    </xf>
    <xf numFmtId="0" fontId="34" fillId="0" borderId="1" xfId="0" applyFont="1" applyBorder="1" applyAlignment="1"/>
    <xf numFmtId="0" fontId="12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5" fillId="2" borderId="1" xfId="0" applyFont="1" applyFill="1" applyBorder="1" applyAlignment="1">
      <alignment horizontal="left" wrapText="1"/>
    </xf>
    <xf numFmtId="0" fontId="18" fillId="2" borderId="3" xfId="0" applyFont="1" applyFill="1" applyBorder="1" applyAlignment="1">
      <alignment wrapText="1"/>
    </xf>
    <xf numFmtId="0" fontId="37" fillId="2" borderId="5" xfId="0" applyFont="1" applyFill="1" applyBorder="1" applyAlignment="1">
      <alignment wrapText="1"/>
    </xf>
    <xf numFmtId="0" fontId="9" fillId="0" borderId="0" xfId="0" applyFont="1" applyFill="1"/>
    <xf numFmtId="0" fontId="0" fillId="0" borderId="0" xfId="0" applyFont="1" applyFill="1" applyAlignment="1"/>
    <xf numFmtId="0" fontId="1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38" fillId="4" borderId="1" xfId="0" applyFont="1" applyFill="1" applyBorder="1" applyAlignment="1">
      <alignment horizontal="center" wrapText="1"/>
    </xf>
    <xf numFmtId="0" fontId="39" fillId="0" borderId="1" xfId="1" applyFont="1" applyBorder="1" applyAlignment="1">
      <alignment horizontal="left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wrapText="1"/>
    </xf>
    <xf numFmtId="0" fontId="16" fillId="0" borderId="0" xfId="0" applyFont="1" applyFill="1" applyAlignment="1">
      <alignment horizontal="left" wrapText="1"/>
    </xf>
    <xf numFmtId="0" fontId="0" fillId="0" borderId="0" xfId="0" applyFont="1" applyFill="1"/>
    <xf numFmtId="0" fontId="0" fillId="0" borderId="0" xfId="0" applyFont="1" applyAlignment="1"/>
    <xf numFmtId="0" fontId="0" fillId="0" borderId="0" xfId="0" applyFont="1" applyAlignment="1"/>
    <xf numFmtId="0" fontId="16" fillId="2" borderId="3" xfId="0" applyFont="1" applyFill="1" applyBorder="1" applyAlignment="1">
      <alignment wrapText="1"/>
    </xf>
    <xf numFmtId="0" fontId="17" fillId="2" borderId="3" xfId="0" applyFont="1" applyFill="1" applyBorder="1" applyAlignment="1">
      <alignment wrapText="1"/>
    </xf>
    <xf numFmtId="0" fontId="9" fillId="2" borderId="3" xfId="0" applyFont="1" applyFill="1" applyBorder="1" applyAlignment="1">
      <alignment wrapText="1"/>
    </xf>
    <xf numFmtId="0" fontId="14" fillId="2" borderId="4" xfId="0" applyFont="1" applyFill="1" applyBorder="1" applyAlignment="1">
      <alignment wrapText="1"/>
    </xf>
    <xf numFmtId="0" fontId="9" fillId="2" borderId="4" xfId="0" applyFont="1" applyFill="1" applyBorder="1" applyAlignment="1">
      <alignment wrapText="1"/>
    </xf>
    <xf numFmtId="0" fontId="7" fillId="6" borderId="5" xfId="0" applyFont="1" applyFill="1" applyBorder="1" applyAlignment="1">
      <alignment wrapText="1"/>
    </xf>
    <xf numFmtId="0" fontId="36" fillId="6" borderId="5" xfId="1" applyFill="1" applyBorder="1" applyAlignment="1">
      <alignment wrapText="1"/>
    </xf>
    <xf numFmtId="0" fontId="40" fillId="6" borderId="5" xfId="0" applyFont="1" applyFill="1" applyBorder="1" applyAlignment="1">
      <alignment wrapText="1"/>
    </xf>
    <xf numFmtId="0" fontId="7" fillId="0" borderId="5" xfId="0" applyFont="1" applyBorder="1" applyAlignment="1">
      <alignment wrapText="1"/>
    </xf>
    <xf numFmtId="0" fontId="40" fillId="0" borderId="5" xfId="0" applyFont="1" applyBorder="1" applyAlignment="1">
      <alignment wrapText="1"/>
    </xf>
    <xf numFmtId="0" fontId="39" fillId="6" borderId="5" xfId="1" applyFont="1" applyFill="1" applyBorder="1" applyAlignment="1">
      <alignment wrapText="1"/>
    </xf>
    <xf numFmtId="0" fontId="42" fillId="6" borderId="5" xfId="0" applyFont="1" applyFill="1" applyBorder="1" applyAlignment="1">
      <alignment wrapText="1"/>
    </xf>
    <xf numFmtId="0" fontId="20" fillId="2" borderId="3" xfId="0" applyFont="1" applyFill="1" applyBorder="1" applyAlignment="1">
      <alignment wrapText="1"/>
    </xf>
    <xf numFmtId="0" fontId="19" fillId="0" borderId="3" xfId="0" applyFont="1" applyBorder="1" applyAlignment="1">
      <alignment wrapText="1"/>
    </xf>
    <xf numFmtId="0" fontId="19" fillId="2" borderId="3" xfId="0" applyFont="1" applyFill="1" applyBorder="1" applyAlignment="1">
      <alignment wrapText="1"/>
    </xf>
    <xf numFmtId="0" fontId="23" fillId="0" borderId="3" xfId="0" applyFont="1" applyBorder="1" applyAlignment="1">
      <alignment wrapText="1"/>
    </xf>
    <xf numFmtId="0" fontId="9" fillId="0" borderId="3" xfId="0" applyFont="1" applyBorder="1"/>
    <xf numFmtId="0" fontId="13" fillId="0" borderId="4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36" fillId="0" borderId="5" xfId="1" applyBorder="1" applyAlignment="1">
      <alignment wrapText="1"/>
    </xf>
    <xf numFmtId="0" fontId="9" fillId="0" borderId="5" xfId="0" applyFont="1" applyBorder="1"/>
    <xf numFmtId="0" fontId="41" fillId="0" borderId="5" xfId="1" applyFont="1" applyBorder="1" applyAlignment="1">
      <alignment wrapText="1"/>
    </xf>
    <xf numFmtId="0" fontId="39" fillId="0" borderId="5" xfId="1" applyFont="1" applyBorder="1" applyAlignment="1">
      <alignment wrapText="1"/>
    </xf>
    <xf numFmtId="0" fontId="19" fillId="0" borderId="3" xfId="0" applyFont="1" applyBorder="1" applyAlignment="1"/>
    <xf numFmtId="0" fontId="7" fillId="0" borderId="3" xfId="0" applyFont="1" applyBorder="1" applyAlignment="1">
      <alignment wrapText="1"/>
    </xf>
    <xf numFmtId="0" fontId="7" fillId="0" borderId="3" xfId="0" applyFont="1" applyBorder="1" applyAlignment="1">
      <alignment horizontal="left"/>
    </xf>
    <xf numFmtId="0" fontId="24" fillId="0" borderId="3" xfId="0" applyFont="1" applyBorder="1" applyAlignment="1">
      <alignment wrapText="1"/>
    </xf>
    <xf numFmtId="0" fontId="9" fillId="0" borderId="2" xfId="0" applyFont="1" applyBorder="1"/>
    <xf numFmtId="0" fontId="7" fillId="2" borderId="5" xfId="0" applyFont="1" applyFill="1" applyBorder="1" applyAlignment="1">
      <alignment horizontal="left" wrapText="1"/>
    </xf>
    <xf numFmtId="0" fontId="20" fillId="2" borderId="5" xfId="0" applyFont="1" applyFill="1" applyBorder="1" applyAlignment="1">
      <alignment wrapText="1"/>
    </xf>
    <xf numFmtId="0" fontId="24" fillId="0" borderId="5" xfId="0" applyFont="1" applyBorder="1" applyAlignment="1">
      <alignment wrapText="1"/>
    </xf>
    <xf numFmtId="0" fontId="0" fillId="0" borderId="5" xfId="0" applyFont="1" applyBorder="1"/>
    <xf numFmtId="0" fontId="0" fillId="0" borderId="5" xfId="0" applyFont="1" applyBorder="1" applyAlignment="1"/>
    <xf numFmtId="0" fontId="9" fillId="0" borderId="2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15" fillId="0" borderId="4" xfId="0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7" fillId="7" borderId="5" xfId="0" applyFont="1" applyFill="1" applyBorder="1" applyAlignment="1">
      <alignment wrapText="1"/>
    </xf>
    <xf numFmtId="0" fontId="25" fillId="0" borderId="3" xfId="0" applyFont="1" applyBorder="1" applyAlignment="1">
      <alignment wrapText="1"/>
    </xf>
    <xf numFmtId="0" fontId="9" fillId="0" borderId="3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9" fillId="0" borderId="4" xfId="0" applyFont="1" applyBorder="1"/>
    <xf numFmtId="0" fontId="36" fillId="0" borderId="4" xfId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7" fillId="2" borderId="0" xfId="0" applyFont="1" applyFill="1" applyBorder="1" applyAlignment="1">
      <alignment wrapText="1"/>
    </xf>
    <xf numFmtId="0" fontId="7" fillId="2" borderId="6" xfId="0" applyFont="1" applyFill="1" applyBorder="1" applyAlignment="1">
      <alignment horizontal="left" wrapText="1"/>
    </xf>
    <xf numFmtId="0" fontId="18" fillId="2" borderId="5" xfId="0" applyFont="1" applyFill="1" applyBorder="1" applyAlignment="1">
      <alignment wrapText="1"/>
    </xf>
    <xf numFmtId="0" fontId="36" fillId="2" borderId="1" xfId="1" applyFill="1" applyBorder="1" applyAlignment="1">
      <alignment wrapText="1"/>
    </xf>
    <xf numFmtId="0" fontId="7" fillId="8" borderId="1" xfId="0" applyFont="1" applyFill="1" applyBorder="1" applyAlignment="1">
      <alignment horizontal="left" wrapText="1"/>
    </xf>
    <xf numFmtId="0" fontId="7" fillId="8" borderId="3" xfId="0" applyFont="1" applyFill="1" applyBorder="1" applyAlignment="1">
      <alignment horizontal="left" wrapText="1"/>
    </xf>
    <xf numFmtId="0" fontId="7" fillId="8" borderId="4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0" xfId="0" applyFont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harity-tcf.ru/ru/" TargetMode="External"/><Relationship Id="rId21" Type="http://schemas.openxmlformats.org/officeDocument/2006/relationships/hyperlink" Target="https://m.hh.ru/employer/660924" TargetMode="External"/><Relationship Id="rId42" Type="http://schemas.openxmlformats.org/officeDocument/2006/relationships/hyperlink" Target="http://t8.ru/?page_id=6647" TargetMode="External"/><Relationship Id="rId47" Type="http://schemas.openxmlformats.org/officeDocument/2006/relationships/hyperlink" Target="https://hh.ru/employer/1263783" TargetMode="External"/><Relationship Id="rId63" Type="http://schemas.openxmlformats.org/officeDocument/2006/relationships/hyperlink" Target="https://hh.ru/employer/1118324" TargetMode="External"/><Relationship Id="rId68" Type="http://schemas.openxmlformats.org/officeDocument/2006/relationships/hyperlink" Target="https://hh.ru/employer/51162" TargetMode="External"/><Relationship Id="rId84" Type="http://schemas.openxmlformats.org/officeDocument/2006/relationships/hyperlink" Target="https://hh.ru/employer/2812958" TargetMode="External"/><Relationship Id="rId16" Type="http://schemas.openxmlformats.org/officeDocument/2006/relationships/hyperlink" Target="http://www1.fips.ru/wps/wcm/connect/content_ru/ru/about/inf_podrazd/" TargetMode="External"/><Relationship Id="rId11" Type="http://schemas.openxmlformats.org/officeDocument/2006/relationships/hyperlink" Target="http://www.ntmdt-si.ru/" TargetMode="External"/><Relationship Id="rId32" Type="http://schemas.openxmlformats.org/officeDocument/2006/relationships/hyperlink" Target="https://hh.ru/employer/1199952" TargetMode="External"/><Relationship Id="rId37" Type="http://schemas.openxmlformats.org/officeDocument/2006/relationships/hyperlink" Target="http://www.teradata.ru/contact-us/Russia" TargetMode="External"/><Relationship Id="rId53" Type="http://schemas.openxmlformats.org/officeDocument/2006/relationships/hyperlink" Target="http://www.abramtsevo.net/kontakti/kontakti.html" TargetMode="External"/><Relationship Id="rId58" Type="http://schemas.openxmlformats.org/officeDocument/2006/relationships/hyperlink" Target="http://www.marine-rc.ru/o-kompanii/" TargetMode="External"/><Relationship Id="rId74" Type="http://schemas.openxmlformats.org/officeDocument/2006/relationships/hyperlink" Target="https://mgimo.ru/" TargetMode="External"/><Relationship Id="rId79" Type="http://schemas.openxmlformats.org/officeDocument/2006/relationships/hyperlink" Target="http://glinka.museum/" TargetMode="External"/><Relationship Id="rId5" Type="http://schemas.openxmlformats.org/officeDocument/2006/relationships/hyperlink" Target="https://voronezh.hh.ru/employer/921957" TargetMode="External"/><Relationship Id="rId19" Type="http://schemas.openxmlformats.org/officeDocument/2006/relationships/hyperlink" Target="https://m.hh.ru/employer/1636228" TargetMode="External"/><Relationship Id="rId14" Type="http://schemas.openxmlformats.org/officeDocument/2006/relationships/hyperlink" Target="http://www.msmsu.ru/" TargetMode="External"/><Relationship Id="rId22" Type="http://schemas.openxmlformats.org/officeDocument/2006/relationships/hyperlink" Target="http://www.micromine.ru/contact/" TargetMode="External"/><Relationship Id="rId27" Type="http://schemas.openxmlformats.org/officeDocument/2006/relationships/hyperlink" Target="http://www.suek.ru/about-us/" TargetMode="External"/><Relationship Id="rId30" Type="http://schemas.openxmlformats.org/officeDocument/2006/relationships/hyperlink" Target="https://hh.ru/employer/2816691" TargetMode="External"/><Relationship Id="rId35" Type="http://schemas.openxmlformats.org/officeDocument/2006/relationships/hyperlink" Target="http://www.bioplaneta.ru/" TargetMode="External"/><Relationship Id="rId43" Type="http://schemas.openxmlformats.org/officeDocument/2006/relationships/hyperlink" Target="https://hh.ru/employer/575393" TargetMode="External"/><Relationship Id="rId48" Type="http://schemas.openxmlformats.org/officeDocument/2006/relationships/hyperlink" Target="https://protres.ru/kontakty" TargetMode="External"/><Relationship Id="rId56" Type="http://schemas.openxmlformats.org/officeDocument/2006/relationships/hyperlink" Target="https://www.baikalelectronics.ru/" TargetMode="External"/><Relationship Id="rId64" Type="http://schemas.openxmlformats.org/officeDocument/2006/relationships/hyperlink" Target="http://fbmse.ru/vakansii" TargetMode="External"/><Relationship Id="rId69" Type="http://schemas.openxmlformats.org/officeDocument/2006/relationships/hyperlink" Target="http://www.vniiecology.ru/index.php/institut/vnii-ekologiya/istoriya-instituta" TargetMode="External"/><Relationship Id="rId77" Type="http://schemas.openxmlformats.org/officeDocument/2006/relationships/hyperlink" Target="http://www.orientmuseum.ru/" TargetMode="External"/><Relationship Id="rId8" Type="http://schemas.openxmlformats.org/officeDocument/2006/relationships/hyperlink" Target="http://mospolytech.ru/search_new.php?text=%E2%E0%EA%E0%ED%F1%E8%E8" TargetMode="External"/><Relationship Id="rId51" Type="http://schemas.openxmlformats.org/officeDocument/2006/relationships/hyperlink" Target="https://tambov.hh.ru/employer/2714841" TargetMode="External"/><Relationship Id="rId72" Type="http://schemas.openxmlformats.org/officeDocument/2006/relationships/hyperlink" Target="https://hh.ru/employer/3476" TargetMode="External"/><Relationship Id="rId80" Type="http://schemas.openxmlformats.org/officeDocument/2006/relationships/hyperlink" Target="http://www.rosizo.ru/" TargetMode="External"/><Relationship Id="rId85" Type="http://schemas.openxmlformats.org/officeDocument/2006/relationships/hyperlink" Target="http://www.nczd.ru/node/1" TargetMode="External"/><Relationship Id="rId3" Type="http://schemas.openxmlformats.org/officeDocument/2006/relationships/hyperlink" Target="http://www.innoros.ru/about/career" TargetMode="External"/><Relationship Id="rId12" Type="http://schemas.openxmlformats.org/officeDocument/2006/relationships/hyperlink" Target="https://hh.ru/employer/5416" TargetMode="External"/><Relationship Id="rId17" Type="http://schemas.openxmlformats.org/officeDocument/2006/relationships/hyperlink" Target="https://m.hh.ru/employer/2732321" TargetMode="External"/><Relationship Id="rId25" Type="http://schemas.openxmlformats.org/officeDocument/2006/relationships/hyperlink" Target="http://job.unium.ru/" TargetMode="External"/><Relationship Id="rId33" Type="http://schemas.openxmlformats.org/officeDocument/2006/relationships/hyperlink" Target="http://frprf.ru/" TargetMode="External"/><Relationship Id="rId38" Type="http://schemas.openxmlformats.org/officeDocument/2006/relationships/hyperlink" Target="https://hh.ru/employer/196122" TargetMode="External"/><Relationship Id="rId46" Type="http://schemas.openxmlformats.org/officeDocument/2006/relationships/hyperlink" Target="http://www.schaeffler.ru/content.schaeffler.ru/ru/index.jsp" TargetMode="External"/><Relationship Id="rId59" Type="http://schemas.openxmlformats.org/officeDocument/2006/relationships/hyperlink" Target="https://hh.ru/employer/3029699" TargetMode="External"/><Relationship Id="rId67" Type="http://schemas.openxmlformats.org/officeDocument/2006/relationships/hyperlink" Target="https://www.ufs-online.ru/" TargetMode="External"/><Relationship Id="rId20" Type="http://schemas.openxmlformats.org/officeDocument/2006/relationships/hyperlink" Target="http://vebeng.ru/index.php?r=site/page&amp;view=vacancy" TargetMode="External"/><Relationship Id="rId41" Type="http://schemas.openxmlformats.org/officeDocument/2006/relationships/hyperlink" Target="http://azimut.ru/" TargetMode="External"/><Relationship Id="rId54" Type="http://schemas.openxmlformats.org/officeDocument/2006/relationships/hyperlink" Target="http://www.skoltech.ru/about/join-staff/" TargetMode="External"/><Relationship Id="rId62" Type="http://schemas.openxmlformats.org/officeDocument/2006/relationships/hyperlink" Target="http://mospolytech.ru/" TargetMode="External"/><Relationship Id="rId70" Type="http://schemas.openxmlformats.org/officeDocument/2006/relationships/hyperlink" Target="http://www.tmnpo.ru/" TargetMode="External"/><Relationship Id="rId75" Type="http://schemas.openxmlformats.org/officeDocument/2006/relationships/hyperlink" Target="http://www.vmdpni.ru/" TargetMode="External"/><Relationship Id="rId83" Type="http://schemas.openxmlformats.org/officeDocument/2006/relationships/hyperlink" Target="http://mtmost.ru/main/" TargetMode="External"/><Relationship Id="rId1" Type="http://schemas.openxmlformats.org/officeDocument/2006/relationships/hyperlink" Target="https://belgorod.hh.ru/employer/871524" TargetMode="External"/><Relationship Id="rId6" Type="http://schemas.openxmlformats.org/officeDocument/2006/relationships/hyperlink" Target="http://www.uecrus.com/rus/career/vacancy/" TargetMode="External"/><Relationship Id="rId15" Type="http://schemas.openxmlformats.org/officeDocument/2006/relationships/hyperlink" Target="http://www.arts-museum.ru/museum/vacancies/index.php" TargetMode="External"/><Relationship Id="rId23" Type="http://schemas.openxmlformats.org/officeDocument/2006/relationships/hyperlink" Target="https://hh.ru/employer/1227000" TargetMode="External"/><Relationship Id="rId28" Type="http://schemas.openxmlformats.org/officeDocument/2006/relationships/hyperlink" Target="https://hh.ru/employer/568" TargetMode="External"/><Relationship Id="rId36" Type="http://schemas.openxmlformats.org/officeDocument/2006/relationships/hyperlink" Target="http://www.multi-scan.ru/index.php/development" TargetMode="External"/><Relationship Id="rId49" Type="http://schemas.openxmlformats.org/officeDocument/2006/relationships/hyperlink" Target="http://www.kvantex.ru/" TargetMode="External"/><Relationship Id="rId57" Type="http://schemas.openxmlformats.org/officeDocument/2006/relationships/hyperlink" Target="https://hh.ru/employer/1188681" TargetMode="External"/><Relationship Id="rId10" Type="http://schemas.openxmlformats.org/officeDocument/2006/relationships/hyperlink" Target="https://hh.ru/employer/2642916" TargetMode="External"/><Relationship Id="rId31" Type="http://schemas.openxmlformats.org/officeDocument/2006/relationships/hyperlink" Target="http://www.rvc.ru/" TargetMode="External"/><Relationship Id="rId44" Type="http://schemas.openxmlformats.org/officeDocument/2006/relationships/hyperlink" Target="https://www.securitycode.ru/" TargetMode="External"/><Relationship Id="rId52" Type="http://schemas.openxmlformats.org/officeDocument/2006/relationships/hyperlink" Target="http://ysmu.ru/index.php/ru/glavnaya/akademiya-segodnya/informatization" TargetMode="External"/><Relationship Id="rId60" Type="http://schemas.openxmlformats.org/officeDocument/2006/relationships/hyperlink" Target="http://strelka-kb.com/" TargetMode="External"/><Relationship Id="rId65" Type="http://schemas.openxmlformats.org/officeDocument/2006/relationships/hyperlink" Target="http://ctf-russia.ru/about/" TargetMode="External"/><Relationship Id="rId73" Type="http://schemas.openxmlformats.org/officeDocument/2006/relationships/hyperlink" Target="http://niitn.transneft.ru/about" TargetMode="External"/><Relationship Id="rId78" Type="http://schemas.openxmlformats.org/officeDocument/2006/relationships/hyperlink" Target="http://www.gctm.ru/" TargetMode="External"/><Relationship Id="rId81" Type="http://schemas.openxmlformats.org/officeDocument/2006/relationships/hyperlink" Target="http://victorymuseum.ru/" TargetMode="External"/><Relationship Id="rId86" Type="http://schemas.openxmlformats.org/officeDocument/2006/relationships/hyperlink" Target="https://eranew-med.ru/" TargetMode="External"/><Relationship Id="rId4" Type="http://schemas.openxmlformats.org/officeDocument/2006/relationships/hyperlink" Target="https://voronezh.hh.ru/employer/631785" TargetMode="External"/><Relationship Id="rId9" Type="http://schemas.openxmlformats.org/officeDocument/2006/relationships/hyperlink" Target="https://hh.ru/employer/689" TargetMode="External"/><Relationship Id="rId13" Type="http://schemas.openxmlformats.org/officeDocument/2006/relationships/hyperlink" Target="http://www.nanolek.ru/ru/content/career" TargetMode="External"/><Relationship Id="rId18" Type="http://schemas.openxmlformats.org/officeDocument/2006/relationships/hyperlink" Target="http://www.abradox.ru/AnaRabotuVabradox/" TargetMode="External"/><Relationship Id="rId39" Type="http://schemas.openxmlformats.org/officeDocument/2006/relationships/hyperlink" Target="http://lingualeo.com/ru" TargetMode="External"/><Relationship Id="rId34" Type="http://schemas.openxmlformats.org/officeDocument/2006/relationships/hyperlink" Target="https://hh.ru/employer/1706575" TargetMode="External"/><Relationship Id="rId50" Type="http://schemas.openxmlformats.org/officeDocument/2006/relationships/hyperlink" Target="http://www.elektmb.ru/" TargetMode="External"/><Relationship Id="rId55" Type="http://schemas.openxmlformats.org/officeDocument/2006/relationships/hyperlink" Target="https://hh.ru/employer/976931" TargetMode="External"/><Relationship Id="rId76" Type="http://schemas.openxmlformats.org/officeDocument/2006/relationships/hyperlink" Target="http://www.shm.ru/" TargetMode="External"/><Relationship Id="rId7" Type="http://schemas.openxmlformats.org/officeDocument/2006/relationships/hyperlink" Target="http://wniikp.ru/" TargetMode="External"/><Relationship Id="rId71" Type="http://schemas.openxmlformats.org/officeDocument/2006/relationships/hyperlink" Target="https://www.psngroup.ru/about/" TargetMode="External"/><Relationship Id="rId2" Type="http://schemas.openxmlformats.org/officeDocument/2006/relationships/hyperlink" Target="https://vladimir.hh.ru/employer/2551607" TargetMode="External"/><Relationship Id="rId29" Type="http://schemas.openxmlformats.org/officeDocument/2006/relationships/hyperlink" Target="http://test.sibniicoal.ru/" TargetMode="External"/><Relationship Id="rId24" Type="http://schemas.openxmlformats.org/officeDocument/2006/relationships/hyperlink" Target="http://anomtu.ru/" TargetMode="External"/><Relationship Id="rId40" Type="http://schemas.openxmlformats.org/officeDocument/2006/relationships/hyperlink" Target="https://hh.ru/employer/998130" TargetMode="External"/><Relationship Id="rId45" Type="http://schemas.openxmlformats.org/officeDocument/2006/relationships/hyperlink" Target="https://hh.ru/employer/2562304" TargetMode="External"/><Relationship Id="rId66" Type="http://schemas.openxmlformats.org/officeDocument/2006/relationships/hyperlink" Target="https://hh.ru/employer/1467946" TargetMode="External"/><Relationship Id="rId87" Type="http://schemas.openxmlformats.org/officeDocument/2006/relationships/printerSettings" Target="../printerSettings/printerSettings1.bin"/><Relationship Id="rId61" Type="http://schemas.openxmlformats.org/officeDocument/2006/relationships/hyperlink" Target="https://hh.ru/employer/1292067" TargetMode="External"/><Relationship Id="rId82" Type="http://schemas.openxmlformats.org/officeDocument/2006/relationships/hyperlink" Target="http://www.vcot.info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illing.ru/contacts/petersburg" TargetMode="External"/><Relationship Id="rId13" Type="http://schemas.openxmlformats.org/officeDocument/2006/relationships/hyperlink" Target="http://ib.krc.karelia.ru/section.php?plang=r&amp;id=2777" TargetMode="External"/><Relationship Id="rId18" Type="http://schemas.openxmlformats.org/officeDocument/2006/relationships/hyperlink" Target="http://www.center-albreht.ru/about_the_center/vakansii/" TargetMode="External"/><Relationship Id="rId26" Type="http://schemas.openxmlformats.org/officeDocument/2006/relationships/printerSettings" Target="../printerSettings/printerSettings2.bin"/><Relationship Id="rId3" Type="http://schemas.openxmlformats.org/officeDocument/2006/relationships/hyperlink" Target="http://ok.vstu.edu.ru/konkurs-vybory/konkurs-na-zameshchenie-dolzhnostej" TargetMode="External"/><Relationship Id="rId21" Type="http://schemas.openxmlformats.org/officeDocument/2006/relationships/hyperlink" Target="http://sutd.ru/" TargetMode="External"/><Relationship Id="rId7" Type="http://schemas.openxmlformats.org/officeDocument/2006/relationships/hyperlink" Target="http://www.cytspb.rssi.ru/" TargetMode="External"/><Relationship Id="rId12" Type="http://schemas.openxmlformats.org/officeDocument/2006/relationships/hyperlink" Target="http://www.pabgi.ru/konkursy-na-zameshchenie-vakantnykh-dolzhnostej.html" TargetMode="External"/><Relationship Id="rId17" Type="http://schemas.openxmlformats.org/officeDocument/2006/relationships/hyperlink" Target="http://world-ocean.ru/ru/" TargetMode="External"/><Relationship Id="rId25" Type="http://schemas.openxmlformats.org/officeDocument/2006/relationships/hyperlink" Target="http://kizhi.karelia.ru/info/en/about/contacts" TargetMode="External"/><Relationship Id="rId2" Type="http://schemas.openxmlformats.org/officeDocument/2006/relationships/hyperlink" Target="https://www.star.ru/Personal/Vakansii" TargetMode="External"/><Relationship Id="rId16" Type="http://schemas.openxmlformats.org/officeDocument/2006/relationships/hyperlink" Target="http://www.ugtu.net/science/konkurs" TargetMode="External"/><Relationship Id="rId20" Type="http://schemas.openxmlformats.org/officeDocument/2006/relationships/hyperlink" Target="http://ntc.gazprom-neft.ru/" TargetMode="External"/><Relationship Id="rId1" Type="http://schemas.openxmlformats.org/officeDocument/2006/relationships/hyperlink" Target="http://narfu.ru/university/jobs/annonces/" TargetMode="External"/><Relationship Id="rId6" Type="http://schemas.openxmlformats.org/officeDocument/2006/relationships/hyperlink" Target="http://iephb.ru/vakansii/tekushhie-vakansii/" TargetMode="External"/><Relationship Id="rId11" Type="http://schemas.openxmlformats.org/officeDocument/2006/relationships/hyperlink" Target="http://www.ecobaltic.com/projects" TargetMode="External"/><Relationship Id="rId24" Type="http://schemas.openxmlformats.org/officeDocument/2006/relationships/hyperlink" Target="http://apluss.ru/jobs" TargetMode="External"/><Relationship Id="rId5" Type="http://schemas.openxmlformats.org/officeDocument/2006/relationships/hyperlink" Target="http://www.transas.ru/contacts" TargetMode="External"/><Relationship Id="rId15" Type="http://schemas.openxmlformats.org/officeDocument/2006/relationships/hyperlink" Target="http://www.centrinit.ru/about/vakansii/" TargetMode="External"/><Relationship Id="rId23" Type="http://schemas.openxmlformats.org/officeDocument/2006/relationships/hyperlink" Target="https://hh.ru/employer/2748" TargetMode="External"/><Relationship Id="rId10" Type="http://schemas.openxmlformats.org/officeDocument/2006/relationships/hyperlink" Target="http://www.ecobaltic.com/contacts" TargetMode="External"/><Relationship Id="rId19" Type="http://schemas.openxmlformats.org/officeDocument/2006/relationships/hyperlink" Target="http://spbiuvek.ru/index.php?lng=ru" TargetMode="External"/><Relationship Id="rId4" Type="http://schemas.openxmlformats.org/officeDocument/2006/relationships/hyperlink" Target="http://gturp.spb.ru/" TargetMode="External"/><Relationship Id="rId9" Type="http://schemas.openxmlformats.org/officeDocument/2006/relationships/hyperlink" Target="https://hh.ru/employer/6004" TargetMode="External"/><Relationship Id="rId14" Type="http://schemas.openxmlformats.org/officeDocument/2006/relationships/hyperlink" Target="http://forestry.krc.karelia.ru/contact.php?plang=r" TargetMode="External"/><Relationship Id="rId22" Type="http://schemas.openxmlformats.org/officeDocument/2006/relationships/hyperlink" Target="https://mosoblast.rt.ru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igeb.ru/vacancy/" TargetMode="External"/><Relationship Id="rId13" Type="http://schemas.openxmlformats.org/officeDocument/2006/relationships/hyperlink" Target="http://reabil-nk.ru/%D0%B2%D0%B0%D0%BA%D0%B0%D0%BD%D1%81%D0%B8%D0%B8/" TargetMode="External"/><Relationship Id="rId3" Type="http://schemas.openxmlformats.org/officeDocument/2006/relationships/hyperlink" Target="http://www.pharmasyntez.com/about" TargetMode="External"/><Relationship Id="rId7" Type="http://schemas.openxmlformats.org/officeDocument/2006/relationships/hyperlink" Target="http://www.alekta.ru/Contact/" TargetMode="External"/><Relationship Id="rId12" Type="http://schemas.openxmlformats.org/officeDocument/2006/relationships/hyperlink" Target="http://1ln.ru/about" TargetMode="External"/><Relationship Id="rId2" Type="http://schemas.openxmlformats.org/officeDocument/2006/relationships/hyperlink" Target="http://www.lin.irk.ru/vacancies" TargetMode="External"/><Relationship Id="rId1" Type="http://schemas.openxmlformats.org/officeDocument/2006/relationships/hyperlink" Target="http://inrec.sbras.ru/" TargetMode="External"/><Relationship Id="rId6" Type="http://schemas.openxmlformats.org/officeDocument/2006/relationships/hyperlink" Target="https://hh.ru/employer/2199311" TargetMode="External"/><Relationship Id="rId11" Type="http://schemas.openxmlformats.org/officeDocument/2006/relationships/hyperlink" Target="https://hh.ru/employer/63367" TargetMode="External"/><Relationship Id="rId5" Type="http://schemas.openxmlformats.org/officeDocument/2006/relationships/hyperlink" Target="http://www.uniscan-research.ru/contacts" TargetMode="External"/><Relationship Id="rId10" Type="http://schemas.openxmlformats.org/officeDocument/2006/relationships/hyperlink" Target="http://www.elesy.ru/contacts/tomsk.aspx" TargetMode="External"/><Relationship Id="rId4" Type="http://schemas.openxmlformats.org/officeDocument/2006/relationships/hyperlink" Target="https://hh.ru/employer/829326" TargetMode="External"/><Relationship Id="rId9" Type="http://schemas.openxmlformats.org/officeDocument/2006/relationships/hyperlink" Target="http://www.iao.ru/ru/contacts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icl-services.com/contacts/" TargetMode="External"/><Relationship Id="rId13" Type="http://schemas.openxmlformats.org/officeDocument/2006/relationships/hyperlink" Target="https://nkmzst.ru/" TargetMode="External"/><Relationship Id="rId3" Type="http://schemas.openxmlformats.org/officeDocument/2006/relationships/hyperlink" Target="https://utpsp.ru/" TargetMode="External"/><Relationship Id="rId7" Type="http://schemas.openxmlformats.org/officeDocument/2006/relationships/hyperlink" Target="https://www.kai.ru/web/guest/sveden/common" TargetMode="External"/><Relationship Id="rId12" Type="http://schemas.openxmlformats.org/officeDocument/2006/relationships/hyperlink" Target="http://litsey4.ru/%D0%B3%D0%B8%D0%BC%D0%BD%D0%B0%D0%B7%D0%B8%D1%8F/" TargetMode="External"/><Relationship Id="rId2" Type="http://schemas.openxmlformats.org/officeDocument/2006/relationships/hyperlink" Target="http://www.bashneft.ru/company/contacts/" TargetMode="External"/><Relationship Id="rId1" Type="http://schemas.openxmlformats.org/officeDocument/2006/relationships/hyperlink" Target="http://www.orgkhim.com/work/vakansii" TargetMode="External"/><Relationship Id="rId6" Type="http://schemas.openxmlformats.org/officeDocument/2006/relationships/hyperlink" Target="https://hh.ru/employer/1485167" TargetMode="External"/><Relationship Id="rId11" Type="http://schemas.openxmlformats.org/officeDocument/2006/relationships/hyperlink" Target="https://togliatti.hh.ru/employer/778912" TargetMode="External"/><Relationship Id="rId5" Type="http://schemas.openxmlformats.org/officeDocument/2006/relationships/hyperlink" Target="http://www.rusfiber.ru/o-kompanii/" TargetMode="External"/><Relationship Id="rId15" Type="http://schemas.openxmlformats.org/officeDocument/2006/relationships/hyperlink" Target="http://ecologyperm.ru/" TargetMode="External"/><Relationship Id="rId10" Type="http://schemas.openxmlformats.org/officeDocument/2006/relationships/hyperlink" Target="http://brightstudio.ru/contacts/" TargetMode="External"/><Relationship Id="rId4" Type="http://schemas.openxmlformats.org/officeDocument/2006/relationships/hyperlink" Target="https://hh.ru/employer/772623" TargetMode="External"/><Relationship Id="rId9" Type="http://schemas.openxmlformats.org/officeDocument/2006/relationships/hyperlink" Target="http://www.icl.kazan.ru/contacts/" TargetMode="External"/><Relationship Id="rId14" Type="http://schemas.openxmlformats.org/officeDocument/2006/relationships/hyperlink" Target="https://hh.ru/employer/2843663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://ysaa.ru/" TargetMode="External"/><Relationship Id="rId1" Type="http://schemas.openxmlformats.org/officeDocument/2006/relationships/hyperlink" Target="https://hh.ru/employer/78961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rostgmu.ru/sveden/common" TargetMode="External"/><Relationship Id="rId2" Type="http://schemas.openxmlformats.org/officeDocument/2006/relationships/hyperlink" Target="https://atekgc.ru/vakansii/" TargetMode="External"/><Relationship Id="rId1" Type="http://schemas.openxmlformats.org/officeDocument/2006/relationships/hyperlink" Target="https://kubsu.ru/ru/node/3427" TargetMode="External"/><Relationship Id="rId5" Type="http://schemas.openxmlformats.org/officeDocument/2006/relationships/hyperlink" Target="http://www.rostmuseum.ru/Page?pageName=contacts" TargetMode="External"/><Relationship Id="rId4" Type="http://schemas.openxmlformats.org/officeDocument/2006/relationships/hyperlink" Target="http://cfuv.ru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lb.ru/careers/" TargetMode="External"/><Relationship Id="rId2" Type="http://schemas.openxmlformats.org/officeDocument/2006/relationships/hyperlink" Target="http://www.ugold.ru/ru/" TargetMode="External"/><Relationship Id="rId1" Type="http://schemas.openxmlformats.org/officeDocument/2006/relationships/hyperlink" Target="http://shvabe.com/contacts/" TargetMode="External"/><Relationship Id="rId4" Type="http://schemas.openxmlformats.org/officeDocument/2006/relationships/hyperlink" Target="https://hh.ru/employer/2791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&#1091;&#1089;&#1090;&#1072;&#1085;&#1086;&#1074;&#1082;&#1080;&#1075;&#1085;&#1073;.&#1088;&#1092;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1048"/>
  <sheetViews>
    <sheetView tabSelected="1" topLeftCell="A217" zoomScale="80" zoomScaleNormal="80" workbookViewId="0">
      <selection activeCell="D223" sqref="D223"/>
    </sheetView>
  </sheetViews>
  <sheetFormatPr defaultColWidth="15.1796875" defaultRowHeight="14.5" x14ac:dyDescent="0.35"/>
  <cols>
    <col min="1" max="1" width="4.6328125" customWidth="1"/>
    <col min="2" max="2" width="68.81640625" style="44" customWidth="1"/>
    <col min="3" max="3" width="14.1796875" customWidth="1"/>
    <col min="4" max="4" width="35.1796875" customWidth="1"/>
    <col min="5" max="5" width="18.81640625" customWidth="1"/>
    <col min="6" max="6" width="20" customWidth="1"/>
    <col min="7" max="7" width="22.36328125" customWidth="1"/>
    <col min="8" max="8" width="17.6328125" customWidth="1"/>
    <col min="9" max="9" width="13.1796875" customWidth="1"/>
    <col min="10" max="18" width="6.6328125" customWidth="1"/>
    <col min="19" max="26" width="13.1796875" customWidth="1"/>
  </cols>
  <sheetData>
    <row r="1" spans="1:26" x14ac:dyDescent="0.35">
      <c r="A1" s="6"/>
      <c r="B1" s="163" t="s">
        <v>687</v>
      </c>
      <c r="C1" s="164"/>
      <c r="D1" s="164"/>
      <c r="E1" s="164"/>
      <c r="F1" s="8"/>
      <c r="G1" s="8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35">
      <c r="A2" s="6"/>
      <c r="B2" s="69"/>
      <c r="C2" s="10"/>
      <c r="D2" s="9"/>
      <c r="E2" s="11"/>
      <c r="F2" s="8"/>
      <c r="G2" s="8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35">
      <c r="A3" s="6"/>
      <c r="B3" s="14" t="s">
        <v>0</v>
      </c>
      <c r="C3" s="14" t="s">
        <v>688</v>
      </c>
      <c r="D3" s="14" t="s">
        <v>1</v>
      </c>
      <c r="E3" s="14" t="s">
        <v>2</v>
      </c>
      <c r="F3" s="14" t="s">
        <v>707</v>
      </c>
      <c r="G3" s="14" t="s">
        <v>689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56.5" x14ac:dyDescent="0.35">
      <c r="A4" s="19">
        <v>1</v>
      </c>
      <c r="B4" s="19" t="s">
        <v>1456</v>
      </c>
      <c r="C4" s="19" t="s">
        <v>668</v>
      </c>
      <c r="D4" s="17" t="s">
        <v>710</v>
      </c>
      <c r="E4" s="19" t="s">
        <v>12</v>
      </c>
      <c r="F4" s="21" t="str">
        <f>HYPERLINK("http://www.bsu.edu.ru/bsu/resource/officialdocs/sections.php?ID=166","http://www.bsu.edu.ru/bsu/resource/officialdocs/sections.php?ID=166")</f>
        <v>http://www.bsu.edu.ru/bsu/resource/officialdocs/sections.php?ID=166</v>
      </c>
      <c r="G4" s="21" t="str">
        <f>HYPERLINK("https://belgorod.hh.ru/employer/1003006","https://belgorod.hh.ru/employer/1003006")</f>
        <v>https://belgorod.hh.ru/employer/1003006</v>
      </c>
      <c r="H4" s="24"/>
      <c r="I4" s="2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8.5" x14ac:dyDescent="0.35">
      <c r="A5" s="19">
        <v>2</v>
      </c>
      <c r="B5" s="19" t="s">
        <v>13</v>
      </c>
      <c r="C5" s="19" t="s">
        <v>690</v>
      </c>
      <c r="D5" s="19" t="s">
        <v>14</v>
      </c>
      <c r="E5" s="19" t="s">
        <v>12</v>
      </c>
      <c r="F5" s="21" t="str">
        <f>HYPERLINK("http://www.vladmiva.ru/ru/sertif","http://www.vladmiva.ru/ru/sertif")</f>
        <v>http://www.vladmiva.ru/ru/sertif</v>
      </c>
      <c r="G5" s="21"/>
      <c r="H5" s="24"/>
      <c r="I5" s="2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42.5" x14ac:dyDescent="0.35">
      <c r="A6" s="19">
        <v>3</v>
      </c>
      <c r="B6" s="19" t="s">
        <v>15</v>
      </c>
      <c r="C6" s="19" t="s">
        <v>690</v>
      </c>
      <c r="D6" s="19" t="s">
        <v>16</v>
      </c>
      <c r="E6" s="19" t="s">
        <v>12</v>
      </c>
      <c r="F6" s="26"/>
      <c r="G6" s="26"/>
      <c r="H6" s="27"/>
      <c r="I6" s="24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8.5" x14ac:dyDescent="0.35">
      <c r="A7" s="19">
        <v>4</v>
      </c>
      <c r="B7" s="19" t="s">
        <v>17</v>
      </c>
      <c r="C7" s="19" t="s">
        <v>690</v>
      </c>
      <c r="D7" s="19" t="s">
        <v>18</v>
      </c>
      <c r="E7" s="19" t="s">
        <v>12</v>
      </c>
      <c r="F7" s="21" t="str">
        <f>HYPERLINK("http://lysine31.ru/contacts/","http://lysine31.ru/contacts/")</f>
        <v>http://lysine31.ru/contacts/</v>
      </c>
      <c r="G7" s="21" t="str">
        <f>HYPERLINK("https://shebekino.hh.ru/employer/1645760","https://shebekino.hh.ru/employer/1645760")</f>
        <v>https://shebekino.hh.ru/employer/1645760</v>
      </c>
      <c r="H7" s="24"/>
      <c r="I7" s="2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42.5" x14ac:dyDescent="0.35">
      <c r="A8" s="19">
        <v>5</v>
      </c>
      <c r="B8" s="19" t="s">
        <v>726</v>
      </c>
      <c r="C8" s="19" t="s">
        <v>690</v>
      </c>
      <c r="D8" s="19" t="s">
        <v>1457</v>
      </c>
      <c r="E8" s="19" t="s">
        <v>12</v>
      </c>
      <c r="F8" s="21" t="str">
        <f>HYPERLINK("http://www.efko.ru/investoram/informatsia-ob-emitentah/188/","http://www.efko.ru/investoram/informatsia-ob-emitentah/188/")</f>
        <v>http://www.efko.ru/investoram/informatsia-ob-emitentah/188/</v>
      </c>
      <c r="G8" s="26"/>
      <c r="H8" s="24"/>
      <c r="I8" s="24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42.5" x14ac:dyDescent="0.35">
      <c r="A9" s="19">
        <v>6</v>
      </c>
      <c r="B9" s="77" t="s">
        <v>731</v>
      </c>
      <c r="C9" s="19" t="s">
        <v>734</v>
      </c>
      <c r="D9" s="19" t="s">
        <v>735</v>
      </c>
      <c r="E9" s="19" t="s">
        <v>12</v>
      </c>
      <c r="F9" s="21" t="str">
        <f>HYPERLINK("http://belgorodinvest.ru/contacts/","http://belgorodinvest.ru/contacts/")</f>
        <v>http://belgorodinvest.ru/contacts/</v>
      </c>
      <c r="G9" s="31" t="s">
        <v>736</v>
      </c>
      <c r="H9" s="24"/>
      <c r="I9" s="24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56.5" x14ac:dyDescent="0.35">
      <c r="A10" s="19">
        <v>7</v>
      </c>
      <c r="B10" s="19" t="s">
        <v>19</v>
      </c>
      <c r="C10" s="19" t="s">
        <v>668</v>
      </c>
      <c r="D10" s="19" t="s">
        <v>20</v>
      </c>
      <c r="E10" s="19" t="s">
        <v>21</v>
      </c>
      <c r="F10" s="21" t="str">
        <f>HYPERLINK("http://www.vlsu.ru/index.php?id=24","http://www.vlsu.ru/index.php?id=24")</f>
        <v>http://www.vlsu.ru/index.php?id=24</v>
      </c>
      <c r="G10" s="21" t="str">
        <f>HYPERLINK("https://vladimir.hh.ru/employer/1655255","https://vladimir.hh.ru/employer/1655255")</f>
        <v>https://vladimir.hh.ru/employer/1655255</v>
      </c>
      <c r="H10" s="24"/>
      <c r="I10" s="2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8.5" x14ac:dyDescent="0.35">
      <c r="A11" s="19">
        <v>8</v>
      </c>
      <c r="B11" s="19" t="s">
        <v>22</v>
      </c>
      <c r="C11" s="19" t="s">
        <v>690</v>
      </c>
      <c r="D11" s="19" t="s">
        <v>23</v>
      </c>
      <c r="E11" s="19" t="s">
        <v>21</v>
      </c>
      <c r="F11" s="21" t="str">
        <f>HYPERLINK("http://www.vladbmt.ru/contacts.htm","http://www.vladbmt.ru/contacts.htm")</f>
        <v>http://www.vladbmt.ru/contacts.htm</v>
      </c>
      <c r="G11" s="31" t="s">
        <v>739</v>
      </c>
      <c r="H11" s="24"/>
      <c r="I11" s="24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42.5" x14ac:dyDescent="0.35">
      <c r="A12" s="19">
        <v>9</v>
      </c>
      <c r="B12" s="19" t="s">
        <v>740</v>
      </c>
      <c r="C12" s="19" t="s">
        <v>690</v>
      </c>
      <c r="D12" s="19" t="s">
        <v>741</v>
      </c>
      <c r="E12" s="19" t="s">
        <v>21</v>
      </c>
      <c r="F12" s="21" t="str">
        <f>HYPERLINK("http://trassa.org/index.php/upravlenie-personalom/vakansii","http://trassa.org/index.php/upravlenie-personalom/vakansii")</f>
        <v>http://trassa.org/index.php/upravlenie-personalom/vakansii</v>
      </c>
      <c r="G12" s="26"/>
      <c r="H12" s="24"/>
      <c r="I12" s="24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56.5" x14ac:dyDescent="0.35">
      <c r="A13" s="19">
        <v>10</v>
      </c>
      <c r="B13" s="19" t="s">
        <v>691</v>
      </c>
      <c r="C13" s="19" t="s">
        <v>692</v>
      </c>
      <c r="D13" s="19" t="s">
        <v>693</v>
      </c>
      <c r="E13" s="19" t="s">
        <v>21</v>
      </c>
      <c r="F13" s="21" t="str">
        <f>HYPERLINK("http://www.vniivvim.ru/contacts/","http://www.vniivvim.ru/contacts/")</f>
        <v>http://www.vniivvim.ru/contacts/</v>
      </c>
      <c r="G13" s="26"/>
      <c r="H13" s="24"/>
      <c r="I13" s="24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8.5" x14ac:dyDescent="0.35">
      <c r="A14" s="19">
        <v>11</v>
      </c>
      <c r="B14" s="19" t="s">
        <v>27</v>
      </c>
      <c r="C14" s="19" t="s">
        <v>690</v>
      </c>
      <c r="D14" s="19" t="s">
        <v>28</v>
      </c>
      <c r="E14" s="19" t="s">
        <v>29</v>
      </c>
      <c r="F14" s="21" t="str">
        <f>HYPERLINK("http://www.kbkha.ru/?p=13","http://www.kbkha.ru/?p=13")</f>
        <v>http://www.kbkha.ru/?p=13</v>
      </c>
      <c r="G14" s="21" t="str">
        <f>HYPERLINK("https://hh.ru/employer/2142115","https://hh.ru/employer/2142115")</f>
        <v>https://hh.ru/employer/2142115</v>
      </c>
      <c r="H14" s="24"/>
      <c r="I14" s="24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8.5" x14ac:dyDescent="0.35">
      <c r="A15" s="19">
        <v>12</v>
      </c>
      <c r="B15" s="19" t="s">
        <v>747</v>
      </c>
      <c r="C15" s="19" t="s">
        <v>668</v>
      </c>
      <c r="D15" s="19" t="s">
        <v>748</v>
      </c>
      <c r="E15" s="19" t="s">
        <v>29</v>
      </c>
      <c r="F15" s="21" t="str">
        <f>HYPERLINK("http://www.vsu.ru/russian/contacts/index.html","http://www.vsu.ru/russian/contacts/index.html")</f>
        <v>http://www.vsu.ru/russian/contacts/index.html</v>
      </c>
      <c r="G15" s="26"/>
      <c r="H15" s="24"/>
      <c r="I15" s="24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2.5" x14ac:dyDescent="0.35">
      <c r="A16" s="19">
        <v>13</v>
      </c>
      <c r="B16" s="19" t="s">
        <v>31</v>
      </c>
      <c r="C16" s="19" t="s">
        <v>668</v>
      </c>
      <c r="D16" s="19" t="s">
        <v>32</v>
      </c>
      <c r="E16" s="19" t="s">
        <v>29</v>
      </c>
      <c r="F16" s="21" t="str">
        <f>HYPERLINK("http://www.vorstu.ru/contact/","http://www.vorstu.ru/contact/")</f>
        <v>http://www.vorstu.ru/contact/</v>
      </c>
      <c r="G16" s="26"/>
      <c r="H16" s="24"/>
      <c r="I16" s="24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8.5" x14ac:dyDescent="0.35">
      <c r="A17" s="19">
        <v>14</v>
      </c>
      <c r="B17" s="19" t="s">
        <v>753</v>
      </c>
      <c r="C17" s="19" t="s">
        <v>690</v>
      </c>
      <c r="D17" s="19" t="s">
        <v>754</v>
      </c>
      <c r="E17" s="19" t="s">
        <v>29</v>
      </c>
      <c r="F17" s="21" t="str">
        <f>HYPERLINK("http://www.vaso.ru/index.php/career/vakansii","http://www.vaso.ru/index.php/career/vakansii")</f>
        <v>http://www.vaso.ru/index.php/career/vakansii</v>
      </c>
      <c r="G17" s="21" t="str">
        <f>HYPERLINK("https://hh.ru/employer/733894","https://hh.ru/employer/733894")</f>
        <v>https://hh.ru/employer/733894</v>
      </c>
      <c r="H17" s="24"/>
      <c r="I17" s="24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8.5" x14ac:dyDescent="0.35">
      <c r="A18" s="19">
        <v>15</v>
      </c>
      <c r="B18" s="19" t="s">
        <v>756</v>
      </c>
      <c r="C18" s="19" t="s">
        <v>690</v>
      </c>
      <c r="D18" s="19" t="s">
        <v>757</v>
      </c>
      <c r="E18" s="19" t="s">
        <v>29</v>
      </c>
      <c r="F18" s="21" t="str">
        <f>HYPERLINK("http://vselmash.ru/newsite/vacansy/#content","http://vselmash.ru/newsite/vacansy/#content")</f>
        <v>http://vselmash.ru/newsite/vacansy/#content</v>
      </c>
      <c r="G18" s="21" t="str">
        <f>HYPERLINK("https://voronezh.hh.ru/employer/40951","https://voronezh.hh.ru/employer/40951")</f>
        <v>https://voronezh.hh.ru/employer/40951</v>
      </c>
      <c r="H18" s="24"/>
      <c r="I18" s="24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56.5" x14ac:dyDescent="0.35">
      <c r="A19" s="19">
        <v>16</v>
      </c>
      <c r="B19" s="19" t="s">
        <v>760</v>
      </c>
      <c r="C19" s="19" t="s">
        <v>668</v>
      </c>
      <c r="D19" s="19" t="s">
        <v>761</v>
      </c>
      <c r="E19" s="19" t="s">
        <v>29</v>
      </c>
      <c r="F19" s="21" t="str">
        <f>HYPERLINK("http://vrngmu.ru/contact/","http://vrngmu.ru/contact/")</f>
        <v>http://vrngmu.ru/contact/</v>
      </c>
      <c r="G19" s="26"/>
      <c r="H19" s="24"/>
      <c r="I19" s="24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8.5" x14ac:dyDescent="0.35">
      <c r="A20" s="19">
        <v>17</v>
      </c>
      <c r="B20" s="64" t="s">
        <v>35</v>
      </c>
      <c r="C20" s="19" t="s">
        <v>690</v>
      </c>
      <c r="D20" s="19" t="s">
        <v>36</v>
      </c>
      <c r="E20" s="19" t="s">
        <v>29</v>
      </c>
      <c r="F20" s="21" t="str">
        <f>HYPERLINK("http://turbonasos.ru/ru/?page=102","http://turbonasos.ru/ru/?page=102")</f>
        <v>http://turbonasos.ru/ru/?page=102</v>
      </c>
      <c r="G20" s="26"/>
      <c r="H20" s="24"/>
      <c r="I20" s="24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2.5" x14ac:dyDescent="0.35">
      <c r="A21" s="156">
        <v>18</v>
      </c>
      <c r="B21" s="157" t="s">
        <v>764</v>
      </c>
      <c r="C21" s="28" t="s">
        <v>734</v>
      </c>
      <c r="D21" s="19" t="s">
        <v>766</v>
      </c>
      <c r="E21" s="19" t="s">
        <v>767</v>
      </c>
      <c r="F21" s="35" t="s">
        <v>770</v>
      </c>
      <c r="G21" s="35" t="s">
        <v>771</v>
      </c>
      <c r="H21" s="27"/>
      <c r="I21" s="24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s="109" customFormat="1" ht="29" x14ac:dyDescent="0.35">
      <c r="A22" s="19">
        <v>19</v>
      </c>
      <c r="B22" s="155" t="s">
        <v>1653</v>
      </c>
      <c r="C22" s="19" t="s">
        <v>700</v>
      </c>
      <c r="D22" s="19" t="s">
        <v>1654</v>
      </c>
      <c r="E22" s="19" t="s">
        <v>767</v>
      </c>
      <c r="F22" s="158" t="s">
        <v>1655</v>
      </c>
      <c r="G22" s="35"/>
      <c r="H22" s="27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2.5" x14ac:dyDescent="0.35">
      <c r="A23" s="156">
        <v>20</v>
      </c>
      <c r="B23" s="97" t="s">
        <v>772</v>
      </c>
      <c r="C23" s="19" t="s">
        <v>690</v>
      </c>
      <c r="D23" s="19" t="s">
        <v>773</v>
      </c>
      <c r="E23" s="19" t="s">
        <v>37</v>
      </c>
      <c r="F23" s="21" t="str">
        <f>HYPERLINK("http://sk.ru/net/participants/vacancies/","http://sk.ru/net/participants/vacancies/")</f>
        <v>http://sk.ru/net/participants/vacancies/</v>
      </c>
      <c r="G23" s="31" t="s">
        <v>774</v>
      </c>
      <c r="H23" s="27"/>
      <c r="I23" s="24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2.5" x14ac:dyDescent="0.35">
      <c r="A24" s="19">
        <v>21</v>
      </c>
      <c r="B24" s="68" t="s">
        <v>775</v>
      </c>
      <c r="C24" s="19" t="s">
        <v>690</v>
      </c>
      <c r="D24" s="19" t="s">
        <v>776</v>
      </c>
      <c r="E24" s="19" t="s">
        <v>37</v>
      </c>
      <c r="F24" s="26"/>
      <c r="G24" s="26"/>
      <c r="H24" s="27"/>
      <c r="I24" s="24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8.5" x14ac:dyDescent="0.35">
      <c r="A25" s="156">
        <v>22</v>
      </c>
      <c r="B25" s="19" t="s">
        <v>57</v>
      </c>
      <c r="C25" s="19" t="s">
        <v>690</v>
      </c>
      <c r="D25" s="19" t="s">
        <v>59</v>
      </c>
      <c r="E25" s="19" t="s">
        <v>37</v>
      </c>
      <c r="F25" s="21" t="str">
        <f>HYPERLINK("http://social.rzd.ru/","http://social.rzd.ru/")</f>
        <v>http://social.rzd.ru/</v>
      </c>
      <c r="G25" s="21" t="str">
        <f>HYPERLINK("https://hh.ru/employer/23427","https://hh.ru/employer/23427")</f>
        <v>https://hh.ru/employer/23427</v>
      </c>
      <c r="H25" s="24"/>
      <c r="I25" s="24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8.5" x14ac:dyDescent="0.35">
      <c r="A26" s="19">
        <v>23</v>
      </c>
      <c r="B26" s="19" t="s">
        <v>97</v>
      </c>
      <c r="C26" s="19" t="s">
        <v>690</v>
      </c>
      <c r="D26" s="19" t="s">
        <v>98</v>
      </c>
      <c r="E26" s="19" t="s">
        <v>37</v>
      </c>
      <c r="F26" s="21" t="str">
        <f>HYPERLINK("http://www.mrz-temp.ru/vakansii.html","http://www.mrz-temp.ru/vakansii.html")</f>
        <v>http://www.mrz-temp.ru/vakansii.html</v>
      </c>
      <c r="G26" s="21" t="str">
        <f>HYPERLINK("https://hh.ru/employer/920289","https://hh.ru/employer/920289")</f>
        <v>https://hh.ru/employer/920289</v>
      </c>
      <c r="H26" s="24"/>
      <c r="I26" s="24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8.5" x14ac:dyDescent="0.35">
      <c r="A27" s="156">
        <v>24</v>
      </c>
      <c r="B27" s="19" t="s">
        <v>133</v>
      </c>
      <c r="C27" s="19" t="s">
        <v>690</v>
      </c>
      <c r="D27" s="19" t="s">
        <v>134</v>
      </c>
      <c r="E27" s="19" t="s">
        <v>37</v>
      </c>
      <c r="F27" s="21" t="str">
        <f>HYPERLINK("http://www.sapfir.ru/about/vakansii/","http://www.sapfir.ru/about/vakansii/")</f>
        <v>http://www.sapfir.ru/about/vakansii/</v>
      </c>
      <c r="G27" s="21" t="str">
        <f>HYPERLINK("https://hh.ru/employer/1088003","https://hh.ru/employer/1088003")</f>
        <v>https://hh.ru/employer/1088003</v>
      </c>
      <c r="H27" s="24"/>
      <c r="I27" s="24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8.5" x14ac:dyDescent="0.35">
      <c r="A28" s="19">
        <v>25</v>
      </c>
      <c r="B28" s="19" t="s">
        <v>184</v>
      </c>
      <c r="C28" s="19" t="s">
        <v>690</v>
      </c>
      <c r="D28" s="19" t="s">
        <v>186</v>
      </c>
      <c r="E28" s="19" t="s">
        <v>37</v>
      </c>
      <c r="F28" s="21" t="str">
        <f>HYPERLINK("http://www.mikron.ru/career/vacancies/","http://www.mikron.ru/career/vacancies/")</f>
        <v>http://www.mikron.ru/career/vacancies/</v>
      </c>
      <c r="G28" s="26"/>
      <c r="H28" s="24"/>
      <c r="I28" s="24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42.5" x14ac:dyDescent="0.35">
      <c r="A29" s="156">
        <v>26</v>
      </c>
      <c r="B29" s="19" t="s">
        <v>781</v>
      </c>
      <c r="C29" s="19" t="s">
        <v>668</v>
      </c>
      <c r="D29" s="19" t="s">
        <v>1474</v>
      </c>
      <c r="E29" s="19" t="s">
        <v>37</v>
      </c>
      <c r="F29" s="21" t="str">
        <f>HYPERLINK("https://www.hse.ru/work","https://www.hse.ru/work")</f>
        <v>https://www.hse.ru/work</v>
      </c>
      <c r="G29" s="21" t="str">
        <f>HYPERLINK("https://hh.ru/employer/80981","https://hh.ru/employer/80981")</f>
        <v>https://hh.ru/employer/80981</v>
      </c>
      <c r="H29" s="24"/>
      <c r="I29" s="24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42.5" x14ac:dyDescent="0.35">
      <c r="A30" s="19">
        <v>27</v>
      </c>
      <c r="B30" s="19" t="s">
        <v>782</v>
      </c>
      <c r="C30" s="19" t="s">
        <v>690</v>
      </c>
      <c r="D30" s="19" t="s">
        <v>783</v>
      </c>
      <c r="E30" s="19" t="s">
        <v>37</v>
      </c>
      <c r="F30" s="21" t="str">
        <f>HYPERLINK("http://www.uacrussia.ru/ru/corporation/personnel-policy/vacancies/","http://www.uacrussia.ru/ru/corporation/personnel-policy/vacancies/")</f>
        <v>http://www.uacrussia.ru/ru/corporation/personnel-policy/vacancies/</v>
      </c>
      <c r="G30" s="21" t="str">
        <f>HYPERLINK("https://hh.ru/employer/17831","https://hh.ru/employer/17831")</f>
        <v>https://hh.ru/employer/17831</v>
      </c>
      <c r="H30" s="24"/>
      <c r="I30" s="24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8.5" x14ac:dyDescent="0.35">
      <c r="A31" s="156">
        <v>28</v>
      </c>
      <c r="B31" s="19" t="s">
        <v>38</v>
      </c>
      <c r="C31" s="19" t="s">
        <v>690</v>
      </c>
      <c r="D31" s="19" t="s">
        <v>39</v>
      </c>
      <c r="E31" s="19" t="s">
        <v>37</v>
      </c>
      <c r="F31" s="21" t="str">
        <f>HYPERLINK("http://www.1c.ru/rus/firm1c/vacan/","http://www.1c.ru/rus/firm1c/vacan/")</f>
        <v>http://www.1c.ru/rus/firm1c/vacan/</v>
      </c>
      <c r="G31" s="21" t="str">
        <f>HYPERLINK("https://hh.ru/employer/882","https://hh.ru/employer/882")</f>
        <v>https://hh.ru/employer/882</v>
      </c>
      <c r="H31" s="24"/>
      <c r="I31" s="24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70.5" x14ac:dyDescent="0.35">
      <c r="A32" s="19">
        <v>29</v>
      </c>
      <c r="B32" s="19" t="s">
        <v>787</v>
      </c>
      <c r="C32" s="19" t="s">
        <v>668</v>
      </c>
      <c r="D32" s="19" t="s">
        <v>788</v>
      </c>
      <c r="E32" s="19" t="s">
        <v>37</v>
      </c>
      <c r="F32" s="21" t="str">
        <f>HYPERLINK("http://www.bmstu.ru/mstu/undergraduate/seniors#employment-assistance","http://www.bmstu.ru/mstu/undergraduate/seniors#employment-assistance")</f>
        <v>http://www.bmstu.ru/mstu/undergraduate/seniors#employment-assistance</v>
      </c>
      <c r="G32" s="26"/>
      <c r="H32" s="24"/>
      <c r="I32" s="24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42.5" x14ac:dyDescent="0.35">
      <c r="A33" s="156">
        <v>30</v>
      </c>
      <c r="B33" s="19" t="s">
        <v>789</v>
      </c>
      <c r="C33" s="19" t="s">
        <v>690</v>
      </c>
      <c r="D33" s="19" t="s">
        <v>790</v>
      </c>
      <c r="E33" s="19" t="s">
        <v>37</v>
      </c>
      <c r="F33" s="21" t="str">
        <f>HYPERLINK("http://www.tupolev.ru/vakansii_i_karera/vakansii","http://www.tupolev.ru/vakansii_i_karera/vakansii")</f>
        <v>http://www.tupolev.ru/vakansii_i_karera/vakansii</v>
      </c>
      <c r="G33" s="21" t="str">
        <f>HYPERLINK("https://hh.ru/employer/584327","https://hh.ru/employer/584327")</f>
        <v>https://hh.ru/employer/584327</v>
      </c>
      <c r="H33" s="24"/>
      <c r="I33" s="24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8.5" x14ac:dyDescent="0.35">
      <c r="A34" s="19">
        <v>31</v>
      </c>
      <c r="B34" s="19" t="s">
        <v>795</v>
      </c>
      <c r="C34" s="19" t="s">
        <v>692</v>
      </c>
      <c r="D34" s="19" t="s">
        <v>33</v>
      </c>
      <c r="E34" s="19" t="s">
        <v>37</v>
      </c>
      <c r="F34" s="21" t="str">
        <f>HYPERLINK("http://viam.ru/job","http://viam.ru/job")</f>
        <v>http://viam.ru/job</v>
      </c>
      <c r="G34" s="21" t="str">
        <f>HYPERLINK("https://hh.ru/employer/141948","https://hh.ru/employer/141948")</f>
        <v>https://hh.ru/employer/141948</v>
      </c>
      <c r="H34" s="24"/>
      <c r="I34" s="24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8.5" x14ac:dyDescent="0.35">
      <c r="A35" s="156">
        <v>32</v>
      </c>
      <c r="B35" s="19" t="s">
        <v>797</v>
      </c>
      <c r="C35" s="19" t="s">
        <v>690</v>
      </c>
      <c r="D35" s="19" t="s">
        <v>798</v>
      </c>
      <c r="E35" s="19" t="s">
        <v>37</v>
      </c>
      <c r="F35" s="31" t="s">
        <v>799</v>
      </c>
      <c r="G35" s="21" t="str">
        <f>HYPERLINK("https://hh.ru/employer/600885","https://hh.ru/employer/600885")</f>
        <v>https://hh.ru/employer/600885</v>
      </c>
      <c r="H35" s="24"/>
      <c r="I35" s="24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8.5" x14ac:dyDescent="0.35">
      <c r="A36" s="19">
        <v>33</v>
      </c>
      <c r="B36" s="19" t="s">
        <v>40</v>
      </c>
      <c r="C36" s="19" t="s">
        <v>690</v>
      </c>
      <c r="D36" s="19" t="s">
        <v>41</v>
      </c>
      <c r="E36" s="19" t="s">
        <v>37</v>
      </c>
      <c r="F36" s="21" t="str">
        <f>HYPERLINK("http://www.salut.ru/Section.php?SectionId=12","http://www.salut.ru/Section.php?SectionId=12")</f>
        <v>http://www.salut.ru/Section.php?SectionId=12</v>
      </c>
      <c r="G36" s="21" t="str">
        <f>HYPERLINK("https://hh.ru/employer/4083","https://hh.ru/employer/4083")</f>
        <v>https://hh.ru/employer/4083</v>
      </c>
      <c r="H36" s="24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42.5" x14ac:dyDescent="0.35">
      <c r="A37" s="156">
        <v>34</v>
      </c>
      <c r="B37" s="19" t="s">
        <v>42</v>
      </c>
      <c r="C37" s="19" t="s">
        <v>690</v>
      </c>
      <c r="D37" s="19" t="s">
        <v>43</v>
      </c>
      <c r="E37" s="19" t="s">
        <v>37</v>
      </c>
      <c r="F37" s="21" t="str">
        <f>HYPERLINK("http://www.gz-pulsar.ru/index.php/vakansii","http://www.gz-pulsar.ru/index.php/vakansii")</f>
        <v>http://www.gz-pulsar.ru/index.php/vakansii</v>
      </c>
      <c r="G37" s="21" t="str">
        <f>HYPERLINK("https://hh.ru/employer/682637","https://hh.ru/employer/682637")</f>
        <v>https://hh.ru/employer/682637</v>
      </c>
      <c r="H37" s="2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8.5" x14ac:dyDescent="0.35">
      <c r="A38" s="19">
        <v>35</v>
      </c>
      <c r="B38" s="19" t="s">
        <v>45</v>
      </c>
      <c r="C38" s="19" t="s">
        <v>692</v>
      </c>
      <c r="D38" s="19" t="s">
        <v>46</v>
      </c>
      <c r="E38" s="19" t="s">
        <v>37</v>
      </c>
      <c r="F38" s="21" t="str">
        <f>HYPERLINK("http://www.niimt.ru/ru/recruiting.html","http://www.niimt.ru/ru/recruiting.html")</f>
        <v>http://www.niimt.ru/ru/recruiting.html</v>
      </c>
      <c r="G38" s="21" t="str">
        <f>HYPERLINK("https://hh.ru/employer/1185431","https://hh.ru/employer/1185431")</f>
        <v>https://hh.ru/employer/1185431</v>
      </c>
      <c r="H38" s="24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42.5" x14ac:dyDescent="0.35">
      <c r="A39" s="156">
        <v>36</v>
      </c>
      <c r="B39" s="19" t="s">
        <v>809</v>
      </c>
      <c r="C39" s="19" t="s">
        <v>690</v>
      </c>
      <c r="D39" s="19" t="s">
        <v>810</v>
      </c>
      <c r="E39" s="19" t="s">
        <v>37</v>
      </c>
      <c r="F39" s="21" t="str">
        <f>HYPERLINK("http://bazalt.ru/ru/vakansii/","http://bazalt.ru/ru/vakansii/")</f>
        <v>http://bazalt.ru/ru/vakansii/</v>
      </c>
      <c r="G39" s="21" t="str">
        <f>HYPERLINK("https://hh.ru/employer/243942","https://hh.ru/employer/243942")</f>
        <v>https://hh.ru/employer/243942</v>
      </c>
      <c r="H39" s="24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42.5" x14ac:dyDescent="0.35">
      <c r="A40" s="19">
        <v>37</v>
      </c>
      <c r="B40" s="19" t="s">
        <v>814</v>
      </c>
      <c r="C40" s="19" t="s">
        <v>694</v>
      </c>
      <c r="D40" s="19" t="s">
        <v>815</v>
      </c>
      <c r="E40" s="19" t="s">
        <v>37</v>
      </c>
      <c r="F40" s="21" t="str">
        <f>HYPERLINK("http://www.gosniir.ru/contacts.aspx","http://www.gosniir.ru/contacts.aspx")</f>
        <v>http://www.gosniir.ru/contacts.aspx</v>
      </c>
      <c r="G40" s="21" t="str">
        <f>HYPERLINK("https://hh.ru/employer/1598184","https://hh.ru/employer/1598184")</f>
        <v>https://hh.ru/employer/1598184</v>
      </c>
      <c r="H40" s="24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42.5" x14ac:dyDescent="0.35">
      <c r="A41" s="156">
        <v>38</v>
      </c>
      <c r="B41" s="19" t="s">
        <v>49</v>
      </c>
      <c r="C41" s="19" t="s">
        <v>692</v>
      </c>
      <c r="D41" s="19" t="s">
        <v>50</v>
      </c>
      <c r="E41" s="19" t="s">
        <v>37</v>
      </c>
      <c r="F41" s="31" t="s">
        <v>817</v>
      </c>
      <c r="G41" s="43"/>
      <c r="H41" s="24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56.5" x14ac:dyDescent="0.35">
      <c r="A42" s="19">
        <v>39</v>
      </c>
      <c r="B42" s="19" t="s">
        <v>695</v>
      </c>
      <c r="C42" s="19" t="s">
        <v>690</v>
      </c>
      <c r="D42" s="19" t="s">
        <v>696</v>
      </c>
      <c r="E42" s="19" t="s">
        <v>37</v>
      </c>
      <c r="F42" s="31" t="s">
        <v>819</v>
      </c>
      <c r="G42" s="21" t="str">
        <f>HYPERLINK("https://hh.ru/employer/1118324","https://hh.ru/employer/1118324")</f>
        <v>https://hh.ru/employer/1118324</v>
      </c>
      <c r="H42" s="44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42.5" x14ac:dyDescent="0.35">
      <c r="A43" s="156">
        <v>40</v>
      </c>
      <c r="B43" s="19" t="s">
        <v>820</v>
      </c>
      <c r="C43" s="19" t="s">
        <v>692</v>
      </c>
      <c r="D43" s="19" t="s">
        <v>821</v>
      </c>
      <c r="E43" s="19" t="s">
        <v>37</v>
      </c>
      <c r="F43" s="21" t="str">
        <f>HYPERLINK("http://www.cnikvi.ru/content.php?id=1.118","http://www.cnikvi.ru/content.php?id=1.118")</f>
        <v>http://www.cnikvi.ru/content.php?id=1.118</v>
      </c>
      <c r="G43" s="21" t="str">
        <f>HYPERLINK("https://hh.ru/employer/52436","https://hh.ru/employer/52436")</f>
        <v>https://hh.ru/employer/52436</v>
      </c>
      <c r="H43" s="44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8.5" x14ac:dyDescent="0.35">
      <c r="A44" s="19">
        <v>41</v>
      </c>
      <c r="B44" s="19" t="s">
        <v>52</v>
      </c>
      <c r="C44" s="19" t="s">
        <v>690</v>
      </c>
      <c r="D44" s="19" t="s">
        <v>53</v>
      </c>
      <c r="E44" s="19" t="s">
        <v>37</v>
      </c>
      <c r="F44" s="21" t="str">
        <f>HYPERLINK("http://www.vistgroup.ru/about/vacancy/","http://www.vistgroup.ru/about/vacancy/")</f>
        <v>http://www.vistgroup.ru/about/vacancy/</v>
      </c>
      <c r="G44" s="26"/>
      <c r="H44" s="24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8.5" x14ac:dyDescent="0.35">
      <c r="A45" s="156">
        <v>42</v>
      </c>
      <c r="B45" s="19" t="s">
        <v>54</v>
      </c>
      <c r="C45" s="19" t="s">
        <v>690</v>
      </c>
      <c r="D45" s="19" t="s">
        <v>55</v>
      </c>
      <c r="E45" s="19" t="s">
        <v>37</v>
      </c>
      <c r="F45" s="21" t="str">
        <f>HYPERLINK("http://www.vistgroup.ru/mof/","http://www.vistgroup.ru/mof/")</f>
        <v>http://www.vistgroup.ru/mof/</v>
      </c>
      <c r="G45" s="26"/>
      <c r="H45" s="24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56.5" x14ac:dyDescent="0.35">
      <c r="A46" s="19">
        <v>43</v>
      </c>
      <c r="B46" s="19" t="s">
        <v>697</v>
      </c>
      <c r="C46" s="19" t="s">
        <v>690</v>
      </c>
      <c r="D46" s="19" t="s">
        <v>56</v>
      </c>
      <c r="E46" s="19" t="s">
        <v>37</v>
      </c>
      <c r="F46" s="21" t="str">
        <f>HYPERLINK("http://www.vniiem.ru/ru/index.php?option=com_content&amp;view=category&amp;id=49&amp;Itemid=67","http://www.vniiem.ru/ru/index.php?option=com_content&amp;view=category&amp;id=49&amp;Itemid=67")</f>
        <v>http://www.vniiem.ru/ru/index.php?option=com_content&amp;view=category&amp;id=49&amp;Itemid=67</v>
      </c>
      <c r="G46" s="26"/>
      <c r="H46" s="24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8.5" x14ac:dyDescent="0.35">
      <c r="A47" s="156">
        <v>44</v>
      </c>
      <c r="B47" s="19" t="s">
        <v>60</v>
      </c>
      <c r="C47" s="19" t="s">
        <v>694</v>
      </c>
      <c r="D47" s="19" t="s">
        <v>61</v>
      </c>
      <c r="E47" s="19" t="s">
        <v>37</v>
      </c>
      <c r="F47" s="21" t="str">
        <f>HYPERLINK("http://www.veb.ru/about/contacts/","http://www.veb.ru/about/contacts/")</f>
        <v>http://www.veb.ru/about/contacts/</v>
      </c>
      <c r="G47" s="21" t="str">
        <f>HYPERLINK("https://hh.ru/employer/93008","https://hh.ru/employer/93008")</f>
        <v>https://hh.ru/employer/93008</v>
      </c>
      <c r="H47" s="24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42.5" x14ac:dyDescent="0.35">
      <c r="A48" s="19">
        <v>45</v>
      </c>
      <c r="B48" s="19" t="s">
        <v>698</v>
      </c>
      <c r="C48" s="19" t="s">
        <v>668</v>
      </c>
      <c r="D48" s="19" t="s">
        <v>62</v>
      </c>
      <c r="E48" s="19" t="s">
        <v>37</v>
      </c>
      <c r="F48" s="21" t="str">
        <f>HYPERLINK("https://tel.mirea.ru/","https://tel.mirea.ru/")</f>
        <v>https://tel.mirea.ru/</v>
      </c>
      <c r="G48" s="26"/>
      <c r="H48" s="24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8.5" x14ac:dyDescent="0.35">
      <c r="A49" s="156">
        <v>46</v>
      </c>
      <c r="B49" s="19" t="s">
        <v>63</v>
      </c>
      <c r="C49" s="19" t="s">
        <v>690</v>
      </c>
      <c r="D49" s="19" t="s">
        <v>64</v>
      </c>
      <c r="E49" s="19" t="s">
        <v>37</v>
      </c>
      <c r="F49" s="21" t="str">
        <f>HYPERLINK("http://www.stankoprom.ru/","http://www.stankoprom.ru/")</f>
        <v>http://www.stankoprom.ru/</v>
      </c>
      <c r="G49" s="21" t="str">
        <f>HYPERLINK("https://hh.ru/employer/1322115","https://hh.ru/employer/1322115")</f>
        <v>https://hh.ru/employer/1322115</v>
      </c>
      <c r="H49" s="24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8.5" x14ac:dyDescent="0.35">
      <c r="A50" s="19">
        <v>47</v>
      </c>
      <c r="B50" s="19" t="s">
        <v>65</v>
      </c>
      <c r="C50" s="19" t="s">
        <v>690</v>
      </c>
      <c r="D50" s="19" t="s">
        <v>66</v>
      </c>
      <c r="E50" s="19" t="s">
        <v>37</v>
      </c>
      <c r="F50" s="26"/>
      <c r="G50" s="26"/>
      <c r="H50" s="27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8.5" x14ac:dyDescent="0.35">
      <c r="A51" s="156">
        <v>48</v>
      </c>
      <c r="B51" s="19" t="s">
        <v>67</v>
      </c>
      <c r="C51" s="19" t="s">
        <v>694</v>
      </c>
      <c r="D51" s="19" t="s">
        <v>68</v>
      </c>
      <c r="E51" s="19" t="s">
        <v>37</v>
      </c>
      <c r="F51" s="21" t="str">
        <f>HYPERLINK("http://fondgkh.ru/o-fonde/kontaktyi/","http://fondgkh.ru/o-fonde/kontaktyi/")</f>
        <v>http://fondgkh.ru/o-fonde/kontaktyi/</v>
      </c>
      <c r="G51" s="21" t="str">
        <f>HYPERLINK("https://hh.ru/employer/1801026","https://hh.ru/employer/1801026")</f>
        <v>https://hh.ru/employer/1801026</v>
      </c>
      <c r="H51" s="24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8.5" x14ac:dyDescent="0.35">
      <c r="A52" s="19">
        <v>49</v>
      </c>
      <c r="B52" s="19" t="s">
        <v>69</v>
      </c>
      <c r="C52" s="19" t="s">
        <v>690</v>
      </c>
      <c r="D52" s="19" t="s">
        <v>70</v>
      </c>
      <c r="E52" s="19" t="s">
        <v>37</v>
      </c>
      <c r="F52" s="21" t="str">
        <f>HYPERLINK("http://www.transneft.ru/pressroom/contacts/","http://www.transneft.ru/pressroom/contacts/")</f>
        <v>http://www.transneft.ru/pressroom/contacts/</v>
      </c>
      <c r="G52" s="21" t="str">
        <f>HYPERLINK("https://hh.ru/employer/171129","https://hh.ru/employer/171129")</f>
        <v>https://hh.ru/employer/171129</v>
      </c>
      <c r="H52" s="24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42.5" x14ac:dyDescent="0.35">
      <c r="A53" s="156">
        <v>50</v>
      </c>
      <c r="B53" s="19" t="s">
        <v>848</v>
      </c>
      <c r="C53" s="19" t="s">
        <v>694</v>
      </c>
      <c r="D53" s="19" t="s">
        <v>849</v>
      </c>
      <c r="E53" s="19" t="s">
        <v>37</v>
      </c>
      <c r="F53" s="21" t="str">
        <f>HYPERLINK("http://www.old.libfl.ru/about/index.php","http://www.old.libfl.ru/about/index.php")</f>
        <v>http://www.old.libfl.ru/about/index.php</v>
      </c>
      <c r="G53" s="26"/>
      <c r="H53" s="24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8.5" x14ac:dyDescent="0.35">
      <c r="A54" s="19">
        <v>51</v>
      </c>
      <c r="B54" s="19" t="s">
        <v>71</v>
      </c>
      <c r="C54" s="19" t="s">
        <v>690</v>
      </c>
      <c r="D54" s="19" t="s">
        <v>72</v>
      </c>
      <c r="E54" s="19" t="s">
        <v>37</v>
      </c>
      <c r="F54" s="21" t="str">
        <f>HYPERLINK("http://www.rusal.ru/career/vacancies/","http://www.rusal.ru/career/vacancies/")</f>
        <v>http://www.rusal.ru/career/vacancies/</v>
      </c>
      <c r="G54" s="21" t="str">
        <f>HYPERLINK("https://hh.ru/employer/2897","https://hh.ru/employer/2897")</f>
        <v>https://hh.ru/employer/2897</v>
      </c>
      <c r="H54" s="24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8.5" x14ac:dyDescent="0.35">
      <c r="A55" s="156">
        <v>52</v>
      </c>
      <c r="B55" s="19" t="s">
        <v>73</v>
      </c>
      <c r="C55" s="19" t="s">
        <v>690</v>
      </c>
      <c r="D55" s="19" t="s">
        <v>74</v>
      </c>
      <c r="E55" s="19" t="s">
        <v>37</v>
      </c>
      <c r="F55" s="21" t="str">
        <f>HYPERLINK("http://rostec.ru/about/holdings/343","http://rostec.ru/about/holdings/343")</f>
        <v>http://rostec.ru/about/holdings/343</v>
      </c>
      <c r="G55" s="26"/>
      <c r="H55" s="24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8.5" x14ac:dyDescent="0.35">
      <c r="A56" s="19">
        <v>53</v>
      </c>
      <c r="B56" s="19" t="s">
        <v>75</v>
      </c>
      <c r="C56" s="19" t="s">
        <v>694</v>
      </c>
      <c r="D56" s="19" t="s">
        <v>76</v>
      </c>
      <c r="E56" s="19" t="s">
        <v>37</v>
      </c>
      <c r="F56" s="21" t="str">
        <f>HYPERLINK("http://www.asv.org.ru/agency/job/","http://www.asv.org.ru/agency/job/")</f>
        <v>http://www.asv.org.ru/agency/job/</v>
      </c>
      <c r="G56" s="21" t="str">
        <f>HYPERLINK("https://hh.ru/employer/36277","https://hh.ru/employer/36277")</f>
        <v>https://hh.ru/employer/36277</v>
      </c>
      <c r="H56" s="24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42.5" x14ac:dyDescent="0.35">
      <c r="A57" s="156">
        <v>54</v>
      </c>
      <c r="B57" s="19" t="s">
        <v>79</v>
      </c>
      <c r="C57" s="19" t="s">
        <v>692</v>
      </c>
      <c r="D57" s="19" t="s">
        <v>80</v>
      </c>
      <c r="E57" s="19" t="s">
        <v>37</v>
      </c>
      <c r="F57" s="21" t="str">
        <f>HYPERLINK("http://www.ion.ru/index.php/2009-01-12-08-20-40","http://www.ion.ru/index.php/2009-01-12-08-20-40")</f>
        <v>http://www.ion.ru/index.php/2009-01-12-08-20-40</v>
      </c>
      <c r="G57" s="21" t="str">
        <f>HYPERLINK("https://hh.ru/employer/1571225","https://hh.ru/employer/1571225")</f>
        <v>https://hh.ru/employer/1571225</v>
      </c>
      <c r="H57" s="24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56.5" x14ac:dyDescent="0.35">
      <c r="A58" s="19">
        <v>55</v>
      </c>
      <c r="B58" s="19" t="s">
        <v>82</v>
      </c>
      <c r="C58" s="19" t="s">
        <v>692</v>
      </c>
      <c r="D58" s="19" t="s">
        <v>83</v>
      </c>
      <c r="E58" s="19" t="s">
        <v>37</v>
      </c>
      <c r="F58" s="21" t="str">
        <f>HYPERLINK("http://www.gosniti.ru/contact.html","http://www.gosniti.ru/contact.html")</f>
        <v>http://www.gosniti.ru/contact.html</v>
      </c>
      <c r="G58" s="26"/>
      <c r="H58" s="24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8.5" x14ac:dyDescent="0.35">
      <c r="A59" s="156">
        <v>56</v>
      </c>
      <c r="B59" s="19" t="s">
        <v>867</v>
      </c>
      <c r="C59" s="19" t="s">
        <v>690</v>
      </c>
      <c r="D59" s="19" t="s">
        <v>34</v>
      </c>
      <c r="E59" s="19" t="s">
        <v>37</v>
      </c>
      <c r="F59" s="21" t="str">
        <f>HYPERLINK("http://www.ciam.ru/contacts/","http://www.ciam.ru/contacts/")</f>
        <v>http://www.ciam.ru/contacts/</v>
      </c>
      <c r="G59" s="21" t="str">
        <f>HYPERLINK("https://hh.ru/employer/210727","https://hh.ru/employer/210727")</f>
        <v>https://hh.ru/employer/210727</v>
      </c>
      <c r="H59" s="24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8.5" x14ac:dyDescent="0.35">
      <c r="A60" s="19">
        <v>57</v>
      </c>
      <c r="B60" s="19" t="s">
        <v>86</v>
      </c>
      <c r="C60" s="19" t="s">
        <v>690</v>
      </c>
      <c r="D60" s="19" t="s">
        <v>87</v>
      </c>
      <c r="E60" s="19" t="s">
        <v>37</v>
      </c>
      <c r="F60" s="21" t="str">
        <f>HYPERLINK("http://russianspacesystems.ru/career/vacancy/","http://russianspacesystems.ru/career/vacancy/")</f>
        <v>http://russianspacesystems.ru/career/vacancy/</v>
      </c>
      <c r="G60" s="26"/>
      <c r="H60" s="24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42.5" x14ac:dyDescent="0.35">
      <c r="A61" s="156">
        <v>58</v>
      </c>
      <c r="B61" s="19" t="s">
        <v>871</v>
      </c>
      <c r="C61" s="19" t="s">
        <v>668</v>
      </c>
      <c r="D61" s="19" t="s">
        <v>872</v>
      </c>
      <c r="E61" s="19" t="s">
        <v>37</v>
      </c>
      <c r="F61" s="21" t="str">
        <f>HYPERLINK("http://mpei.ru/AboutUniverse/OficialInfo/vacancy/Pages/default.aspx","http://mpei.ru/AboutUniverse/OficialInfo/vacancy/Pages/default.aspx")</f>
        <v>http://mpei.ru/AboutUniverse/OficialInfo/vacancy/Pages/default.aspx</v>
      </c>
      <c r="G61" s="21" t="str">
        <f>HYPERLINK("https://hh.ru/employer/232855","https://hh.ru/employer/232855")</f>
        <v>https://hh.ru/employer/232855</v>
      </c>
      <c r="H61" s="24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8.5" x14ac:dyDescent="0.35">
      <c r="A62" s="19">
        <v>59</v>
      </c>
      <c r="B62" s="19" t="s">
        <v>880</v>
      </c>
      <c r="C62" s="19" t="s">
        <v>690</v>
      </c>
      <c r="D62" s="19" t="s">
        <v>881</v>
      </c>
      <c r="E62" s="19" t="s">
        <v>37</v>
      </c>
      <c r="F62" s="21" t="str">
        <f>HYPERLINK("http://www.omz.ru/career","http://www.omz.ru/career")</f>
        <v>http://www.omz.ru/career</v>
      </c>
      <c r="G62" s="21" t="str">
        <f>HYPERLINK("https://hh.ru/employer/4581","https://hh.ru/employer/4581")</f>
        <v>https://hh.ru/employer/4581</v>
      </c>
      <c r="H62" s="24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42.5" x14ac:dyDescent="0.35">
      <c r="A63" s="156">
        <v>60</v>
      </c>
      <c r="B63" s="19" t="s">
        <v>888</v>
      </c>
      <c r="C63" s="19" t="s">
        <v>692</v>
      </c>
      <c r="D63" s="19" t="s">
        <v>890</v>
      </c>
      <c r="E63" s="19" t="s">
        <v>37</v>
      </c>
      <c r="F63" s="21" t="str">
        <f>HYPERLINK("http://cnkb.ru/134","http://cnkb.ru/134")</f>
        <v>http://cnkb.ru/134</v>
      </c>
      <c r="G63" s="21" t="str">
        <f>HYPERLINK("https://hh.ru/employer/1226104","https://hh.ru/employer/1226104")</f>
        <v>https://hh.ru/employer/1226104</v>
      </c>
      <c r="H63" s="24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8.5" x14ac:dyDescent="0.35">
      <c r="A64" s="19">
        <v>61</v>
      </c>
      <c r="B64" s="19" t="s">
        <v>90</v>
      </c>
      <c r="C64" s="19" t="s">
        <v>692</v>
      </c>
      <c r="D64" s="19" t="s">
        <v>91</v>
      </c>
      <c r="E64" s="19" t="s">
        <v>37</v>
      </c>
      <c r="F64" s="21" t="str">
        <f>HYPERLINK("http://www.okbsapr.ru/contacts.html","http://www.okbsapr.ru/contacts.html")</f>
        <v>http://www.okbsapr.ru/contacts.html</v>
      </c>
      <c r="G64" s="21"/>
      <c r="H64" s="24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8.5" x14ac:dyDescent="0.35">
      <c r="A65" s="156">
        <v>62</v>
      </c>
      <c r="B65" s="19" t="s">
        <v>93</v>
      </c>
      <c r="C65" s="19" t="s">
        <v>690</v>
      </c>
      <c r="D65" s="19" t="s">
        <v>94</v>
      </c>
      <c r="E65" s="19" t="s">
        <v>37</v>
      </c>
      <c r="F65" s="21" t="str">
        <f>HYPERLINK("http://www.omk.ru/company/career/","http://www.omk.ru/company/career/")</f>
        <v>http://www.omk.ru/company/career/</v>
      </c>
      <c r="G65" s="21" t="str">
        <f>HYPERLINK("https://hh.ru/employer/522","https://hh.ru/employer/522")</f>
        <v>https://hh.ru/employer/522</v>
      </c>
      <c r="H65" s="24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8.5" x14ac:dyDescent="0.35">
      <c r="A66" s="19">
        <v>63</v>
      </c>
      <c r="B66" s="19" t="s">
        <v>100</v>
      </c>
      <c r="C66" s="19" t="s">
        <v>690</v>
      </c>
      <c r="D66" s="19" t="s">
        <v>102</v>
      </c>
      <c r="E66" s="19" t="s">
        <v>37</v>
      </c>
      <c r="F66" s="21" t="str">
        <f>HYPERLINK("http://www.telecor.ru/about/vacancies/","http://www.telecor.ru/about/vacancies/")</f>
        <v>http://www.telecor.ru/about/vacancies/</v>
      </c>
      <c r="G66" s="26"/>
      <c r="H66" s="24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8.5" x14ac:dyDescent="0.35">
      <c r="A67" s="156">
        <v>64</v>
      </c>
      <c r="B67" s="19" t="s">
        <v>906</v>
      </c>
      <c r="C67" s="19" t="s">
        <v>692</v>
      </c>
      <c r="D67" s="19" t="s">
        <v>907</v>
      </c>
      <c r="E67" s="19" t="s">
        <v>37</v>
      </c>
      <c r="F67" s="21" t="str">
        <f>HYPERLINK("http://www.vniiht.ru/career","http://www.vniiht.ru/career")</f>
        <v>http://www.vniiht.ru/career</v>
      </c>
      <c r="G67" s="26"/>
      <c r="H67" s="24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42.5" x14ac:dyDescent="0.35">
      <c r="A68" s="19">
        <v>65</v>
      </c>
      <c r="B68" s="19" t="s">
        <v>909</v>
      </c>
      <c r="C68" s="19" t="s">
        <v>668</v>
      </c>
      <c r="D68" s="19" t="s">
        <v>910</v>
      </c>
      <c r="E68" s="19" t="s">
        <v>37</v>
      </c>
      <c r="F68" s="21" t="str">
        <f>HYPERLINK("https://mephi.ru/graduate/","https://mephi.ru/graduate/")</f>
        <v>https://mephi.ru/graduate/</v>
      </c>
      <c r="G68" s="21" t="str">
        <f>HYPERLINK("https://hh.ru/employer/84201","https://hh.ru/employer/84201")</f>
        <v>https://hh.ru/employer/84201</v>
      </c>
      <c r="H68" s="24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8.5" x14ac:dyDescent="0.35">
      <c r="A69" s="156">
        <v>66</v>
      </c>
      <c r="B69" s="19" t="s">
        <v>105</v>
      </c>
      <c r="C69" s="19" t="s">
        <v>700</v>
      </c>
      <c r="D69" s="19" t="s">
        <v>106</v>
      </c>
      <c r="E69" s="19" t="s">
        <v>37</v>
      </c>
      <c r="F69" s="21" t="str">
        <f>HYPERLINK("http://www.med-gen.ru/about/vakancy/","http://www.med-gen.ru/about/vakancy/")</f>
        <v>http://www.med-gen.ru/about/vakancy/</v>
      </c>
      <c r="G69" s="26"/>
      <c r="H69" s="24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8.5" x14ac:dyDescent="0.35">
      <c r="A70" s="19">
        <v>67</v>
      </c>
      <c r="B70" s="19" t="s">
        <v>917</v>
      </c>
      <c r="C70" s="19" t="s">
        <v>692</v>
      </c>
      <c r="D70" s="19" t="s">
        <v>918</v>
      </c>
      <c r="E70" s="19" t="s">
        <v>37</v>
      </c>
      <c r="F70" s="21" t="str">
        <f>HYPERLINK("http://www.spniip.ru/?page_id=509","http://www.spniip.ru/?page_id=509")</f>
        <v>http://www.spniip.ru/?page_id=509</v>
      </c>
      <c r="G70" s="21" t="str">
        <f>HYPERLINK("https://yubilejnyj.hh.ru/employer/1626392","https://yubilejnyj.hh.ru/employer/1626392")</f>
        <v>https://yubilejnyj.hh.ru/employer/1626392</v>
      </c>
      <c r="H70" s="24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42.5" x14ac:dyDescent="0.35">
      <c r="A71" s="156">
        <v>68</v>
      </c>
      <c r="B71" s="19" t="s">
        <v>920</v>
      </c>
      <c r="C71" s="19" t="s">
        <v>700</v>
      </c>
      <c r="D71" s="19" t="s">
        <v>921</v>
      </c>
      <c r="E71" s="19" t="s">
        <v>37</v>
      </c>
      <c r="F71" s="21" t="str">
        <f>HYPERLINK("https://www.endocrincentr.ru/vakansii","https://www.endocrincentr.ru/vakansii")</f>
        <v>https://www.endocrincentr.ru/vakansii</v>
      </c>
      <c r="G71" s="21" t="str">
        <f>HYPERLINK("https://hh.ru/employer/1728526","https://hh.ru/employer/1728526")</f>
        <v>https://hh.ru/employer/1728526</v>
      </c>
      <c r="H71" s="24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8.5" x14ac:dyDescent="0.35">
      <c r="A72" s="19">
        <v>69</v>
      </c>
      <c r="B72" s="19" t="s">
        <v>108</v>
      </c>
      <c r="C72" s="19" t="s">
        <v>690</v>
      </c>
      <c r="D72" s="19" t="s">
        <v>109</v>
      </c>
      <c r="E72" s="19" t="s">
        <v>37</v>
      </c>
      <c r="F72" s="21" t="str">
        <f>HYPERLINK("http://www.rusnano.com/about/vacancy","http://www.rusnano.com/about/vacancy")</f>
        <v>http://www.rusnano.com/about/vacancy</v>
      </c>
      <c r="G72" s="21"/>
      <c r="H72" s="24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42.5" x14ac:dyDescent="0.35">
      <c r="A73" s="156">
        <v>70</v>
      </c>
      <c r="B73" s="19" t="s">
        <v>112</v>
      </c>
      <c r="C73" s="19" t="s">
        <v>692</v>
      </c>
      <c r="D73" s="19" t="s">
        <v>81</v>
      </c>
      <c r="E73" s="19" t="s">
        <v>37</v>
      </c>
      <c r="F73" s="21" t="str">
        <f>HYPERLINK("http://isvch.ru/contacts/","http://isvch.ru/contacts/")</f>
        <v>http://isvch.ru/contacts/</v>
      </c>
      <c r="G73" s="26"/>
      <c r="H73" s="24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42.5" x14ac:dyDescent="0.35">
      <c r="A74" s="19">
        <v>71</v>
      </c>
      <c r="B74" s="19" t="s">
        <v>701</v>
      </c>
      <c r="C74" s="19" t="s">
        <v>668</v>
      </c>
      <c r="D74" s="19" t="s">
        <v>77</v>
      </c>
      <c r="E74" s="19" t="s">
        <v>37</v>
      </c>
      <c r="F74" s="21" t="str">
        <f>HYPERLINK("http://www.rudn.ru/?pagec=2735","http://www.rudn.ru/?pagec=2735")</f>
        <v>http://www.rudn.ru/?pagec=2735</v>
      </c>
      <c r="G74" s="21" t="str">
        <f>HYPERLINK("https://hh.ru/employer/589473","https://hh.ru/employer/589473")</f>
        <v>https://hh.ru/employer/589473</v>
      </c>
      <c r="H74" s="24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42.5" x14ac:dyDescent="0.35">
      <c r="A75" s="156">
        <v>72</v>
      </c>
      <c r="B75" s="19" t="s">
        <v>114</v>
      </c>
      <c r="C75" s="19" t="s">
        <v>692</v>
      </c>
      <c r="D75" s="19" t="s">
        <v>115</v>
      </c>
      <c r="E75" s="19" t="s">
        <v>37</v>
      </c>
      <c r="F75" s="21" t="str">
        <f>HYPERLINK("http://vilarnii.ru/contacts/","http://vilarnii.ru/contacts/")</f>
        <v>http://vilarnii.ru/contacts/</v>
      </c>
      <c r="G75" s="26"/>
      <c r="H75" s="24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8.5" x14ac:dyDescent="0.35">
      <c r="A76" s="19">
        <v>73</v>
      </c>
      <c r="B76" s="19" t="s">
        <v>118</v>
      </c>
      <c r="C76" s="19" t="s">
        <v>692</v>
      </c>
      <c r="D76" s="19" t="s">
        <v>119</v>
      </c>
      <c r="E76" s="19" t="s">
        <v>37</v>
      </c>
      <c r="F76" s="21" t="str">
        <f>HYPERLINK("http://www.issras.ru/about/contest.php","http://www.issras.ru/about/contest.php")</f>
        <v>http://www.issras.ru/about/contest.php</v>
      </c>
      <c r="G76" s="26"/>
      <c r="H76" s="24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42.5" x14ac:dyDescent="0.35">
      <c r="A77" s="156">
        <v>74</v>
      </c>
      <c r="B77" s="19" t="s">
        <v>121</v>
      </c>
      <c r="C77" s="19" t="s">
        <v>692</v>
      </c>
      <c r="D77" s="19" t="s">
        <v>122</v>
      </c>
      <c r="E77" s="19" t="s">
        <v>37</v>
      </c>
      <c r="F77" s="21" t="str">
        <f>HYPERLINK("http://www.npcap.ru/vakansii.html","http://www.npcap.ru/vakansii.html")</f>
        <v>http://www.npcap.ru/vakansii.html</v>
      </c>
      <c r="G77" s="21" t="str">
        <f>HYPERLINK("https://hh.ru/employer/1170429","https://hh.ru/employer/1170429")</f>
        <v>https://hh.ru/employer/1170429</v>
      </c>
      <c r="H77" s="24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8.5" x14ac:dyDescent="0.35">
      <c r="A78" s="19">
        <v>75</v>
      </c>
      <c r="B78" s="19" t="s">
        <v>123</v>
      </c>
      <c r="C78" s="19" t="s">
        <v>692</v>
      </c>
      <c r="D78" s="19" t="s">
        <v>117</v>
      </c>
      <c r="E78" s="19" t="s">
        <v>37</v>
      </c>
      <c r="F78" s="21" t="str">
        <f>HYPERLINK("http://www.polyus.info/company/vacancies/","http://www.polyus.info/company/vacancies/")</f>
        <v>http://www.polyus.info/company/vacancies/</v>
      </c>
      <c r="G78" s="21" t="str">
        <f>HYPERLINK("https://hh.ru/employer/141264","https://hh.ru/employer/141264")</f>
        <v>https://hh.ru/employer/141264</v>
      </c>
      <c r="H78" s="24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8.5" x14ac:dyDescent="0.35">
      <c r="A79" s="156">
        <v>76</v>
      </c>
      <c r="B79" s="19" t="s">
        <v>702</v>
      </c>
      <c r="C79" s="19" t="s">
        <v>692</v>
      </c>
      <c r="D79" s="19" t="s">
        <v>124</v>
      </c>
      <c r="E79" s="19" t="s">
        <v>37</v>
      </c>
      <c r="F79" s="21" t="str">
        <f>HYPERLINK("http://www.nppgamma.ru/jobs/","http://www.nppgamma.ru/jobs/")</f>
        <v>http://www.nppgamma.ru/jobs/</v>
      </c>
      <c r="G79" s="21" t="str">
        <f>HYPERLINK("https://hh.ru/employer/145408","https://hh.ru/employer/145408")</f>
        <v>https://hh.ru/employer/145408</v>
      </c>
      <c r="H79" s="24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42.5" x14ac:dyDescent="0.35">
      <c r="A80" s="19">
        <v>77</v>
      </c>
      <c r="B80" s="19" t="s">
        <v>130</v>
      </c>
      <c r="C80" s="19" t="s">
        <v>692</v>
      </c>
      <c r="D80" s="19" t="s">
        <v>120</v>
      </c>
      <c r="E80" s="19" t="s">
        <v>37</v>
      </c>
      <c r="F80" s="21" t="str">
        <f>HYPERLINK("http://www.genetika.ru/about/vakansii/","http://www.genetika.ru/about/vakansii/")</f>
        <v>http://www.genetika.ru/about/vakansii/</v>
      </c>
      <c r="G80" s="26"/>
      <c r="H80" s="24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42.5" x14ac:dyDescent="0.35">
      <c r="A81" s="156">
        <v>78</v>
      </c>
      <c r="B81" s="19" t="s">
        <v>703</v>
      </c>
      <c r="C81" s="19" t="s">
        <v>668</v>
      </c>
      <c r="D81" s="19" t="s">
        <v>89</v>
      </c>
      <c r="E81" s="19" t="s">
        <v>37</v>
      </c>
      <c r="F81" s="21" t="str">
        <f>HYPERLINK("http://www.rea.ru/ru/org/managements/Pages/careercentr.aspx","http://www.rea.ru/ru/org/managements/Pages/careercentr.aspx")</f>
        <v>http://www.rea.ru/ru/org/managements/Pages/careercentr.aspx</v>
      </c>
      <c r="G81" s="26"/>
      <c r="H81" s="24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42.5" x14ac:dyDescent="0.35">
      <c r="A82" s="19">
        <v>79</v>
      </c>
      <c r="B82" s="19" t="s">
        <v>949</v>
      </c>
      <c r="C82" s="19" t="s">
        <v>700</v>
      </c>
      <c r="D82" s="19" t="s">
        <v>950</v>
      </c>
      <c r="E82" s="19" t="s">
        <v>37</v>
      </c>
      <c r="F82" s="21" t="str">
        <f>HYPERLINK("http://www.ncagip.ru/for-experts/vacansies/","http://www.ncagip.ru/for-experts/vacansies/")</f>
        <v>http://www.ncagip.ru/for-experts/vacansies/</v>
      </c>
      <c r="G82" s="21" t="str">
        <f>HYPERLINK("https://hh.ru/employer/534385","https://hh.ru/employer/534385")</f>
        <v>https://hh.ru/employer/534385</v>
      </c>
      <c r="H82" s="24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56.5" x14ac:dyDescent="0.35">
      <c r="A83" s="156">
        <v>80</v>
      </c>
      <c r="B83" s="19" t="s">
        <v>953</v>
      </c>
      <c r="C83" s="19" t="s">
        <v>700</v>
      </c>
      <c r="D83" s="19" t="s">
        <v>954</v>
      </c>
      <c r="E83" s="19" t="s">
        <v>37</v>
      </c>
      <c r="F83" s="21" t="str">
        <f>HYPERLINK("http://rsmu.ru/17301.html","http://rsmu.ru/17301.html")</f>
        <v>http://rsmu.ru/17301.html</v>
      </c>
      <c r="G83" s="21" t="str">
        <f>HYPERLINK("https://hh.ru/employer/644366","https://hh.ru/employer/644366")</f>
        <v>https://hh.ru/employer/644366</v>
      </c>
      <c r="H83" s="24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8.5" x14ac:dyDescent="0.35">
      <c r="A84" s="19">
        <v>81</v>
      </c>
      <c r="B84" s="19" t="s">
        <v>137</v>
      </c>
      <c r="C84" s="19" t="s">
        <v>692</v>
      </c>
      <c r="D84" s="19" t="s">
        <v>131</v>
      </c>
      <c r="E84" s="19" t="s">
        <v>37</v>
      </c>
      <c r="F84" s="21" t="str">
        <f>HYPERLINK("http://www.mitp.ru/ru/vacancies.html","http://www.mitp.ru/ru/vacancies.html")</f>
        <v>http://www.mitp.ru/ru/vacancies.html</v>
      </c>
      <c r="G84" s="26"/>
      <c r="H84" s="24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56.5" x14ac:dyDescent="0.35">
      <c r="A85" s="156">
        <v>82</v>
      </c>
      <c r="B85" s="19" t="s">
        <v>956</v>
      </c>
      <c r="C85" s="19" t="s">
        <v>700</v>
      </c>
      <c r="D85" s="19" t="s">
        <v>957</v>
      </c>
      <c r="E85" s="19" t="s">
        <v>37</v>
      </c>
      <c r="F85" s="21" t="str">
        <f>HYPERLINK("http://www.fnkc.ru/web/guest/fnkc/contacts","http://www.fnkc.ru/web/guest/fnkc/contacts")</f>
        <v>http://www.fnkc.ru/web/guest/fnkc/contacts</v>
      </c>
      <c r="G85" s="21"/>
      <c r="H85" s="24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8.5" x14ac:dyDescent="0.35">
      <c r="A86" s="19">
        <v>83</v>
      </c>
      <c r="B86" s="19" t="s">
        <v>144</v>
      </c>
      <c r="C86" s="19" t="s">
        <v>690</v>
      </c>
      <c r="D86" s="19" t="s">
        <v>126</v>
      </c>
      <c r="E86" s="19" t="s">
        <v>37</v>
      </c>
      <c r="F86" s="21" t="str">
        <f>HYPERLINK("http://www.rosatom.ru/career/soiskatelyam/","http://www.rosatom.ru/career/soiskatelyam/")</f>
        <v>http://www.rosatom.ru/career/soiskatelyam/</v>
      </c>
      <c r="G86" s="21" t="str">
        <f>HYPERLINK("https://hh.ru/employer/577743","https://hh.ru/employer/577743")</f>
        <v>https://hh.ru/employer/577743</v>
      </c>
      <c r="H86" s="24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8.5" x14ac:dyDescent="0.35">
      <c r="A87" s="156">
        <v>84</v>
      </c>
      <c r="B87" s="19" t="s">
        <v>958</v>
      </c>
      <c r="C87" s="19" t="s">
        <v>694</v>
      </c>
      <c r="D87" s="19" t="s">
        <v>1473</v>
      </c>
      <c r="E87" s="19" t="s">
        <v>37</v>
      </c>
      <c r="F87" s="21" t="str">
        <f>HYPERLINK("http://www.rsl.ru/ru/news/3487","http://www.rsl.ru/ru/news/3487")</f>
        <v>http://www.rsl.ru/ru/news/3487</v>
      </c>
      <c r="G87" s="21" t="str">
        <f>HYPERLINK("https://hh.ru/employer/1407971","https://hh.ru/employer/1407971")</f>
        <v>https://hh.ru/employer/1407971</v>
      </c>
      <c r="H87" s="24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84.5" x14ac:dyDescent="0.35">
      <c r="A88" s="19">
        <v>85</v>
      </c>
      <c r="B88" s="19" t="s">
        <v>964</v>
      </c>
      <c r="C88" s="19" t="s">
        <v>668</v>
      </c>
      <c r="D88" s="19" t="s">
        <v>965</v>
      </c>
      <c r="E88" s="19" t="s">
        <v>37</v>
      </c>
      <c r="F88" s="21" t="str">
        <f>HYPERLINK("http://misis.ru/about-university/struktura-universiteta/upravlenij-i-centry/careercentr/vakansii/pager/133829","http://misis.ru/about-university/struktura-universiteta/upravlenij-i-centry/careercentr/vakansii/pager/133829")</f>
        <v>http://misis.ru/about-university/struktura-universiteta/upravlenij-i-centry/careercentr/vakansii/pager/133829</v>
      </c>
      <c r="G88" s="21" t="str">
        <f>HYPERLINK("https://hh.ru/employer/135778","https://hh.ru/employer/135778")</f>
        <v>https://hh.ru/employer/135778</v>
      </c>
      <c r="H88" s="24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42.5" x14ac:dyDescent="0.35">
      <c r="A89" s="156">
        <v>86</v>
      </c>
      <c r="B89" s="19" t="s">
        <v>150</v>
      </c>
      <c r="C89" s="19" t="s">
        <v>690</v>
      </c>
      <c r="D89" s="19" t="s">
        <v>152</v>
      </c>
      <c r="E89" s="19" t="s">
        <v>37</v>
      </c>
      <c r="F89" s="21" t="str">
        <f>HYPERLINK("http://rt-biotechprom.ru/?page_id=5","http://rt-biotechprom.ru/?page_id=5")</f>
        <v>http://rt-biotechprom.ru/?page_id=5</v>
      </c>
      <c r="G89" s="21" t="str">
        <f>HYPERLINK("https://hh.ru/employer/856701","https://hh.ru/employer/856701")</f>
        <v>https://hh.ru/employer/856701</v>
      </c>
      <c r="H89" s="24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8.5" x14ac:dyDescent="0.35">
      <c r="A90" s="19">
        <v>87</v>
      </c>
      <c r="B90" s="19" t="s">
        <v>154</v>
      </c>
      <c r="C90" s="19" t="s">
        <v>692</v>
      </c>
      <c r="D90" s="19" t="s">
        <v>132</v>
      </c>
      <c r="E90" s="19" t="s">
        <v>37</v>
      </c>
      <c r="F90" s="21" t="str">
        <f>HYPERLINK("http://www.gcras.ru/post.php?i=2","http://www.gcras.ru/post.php?i=2")</f>
        <v>http://www.gcras.ru/post.php?i=2</v>
      </c>
      <c r="G90" s="21" t="str">
        <f>HYPERLINK("https://hh.ru/employer/1796383","https://hh.ru/employer/1796383")</f>
        <v>https://hh.ru/employer/1796383</v>
      </c>
      <c r="H90" s="24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8.5" x14ac:dyDescent="0.35">
      <c r="A91" s="156">
        <v>88</v>
      </c>
      <c r="B91" s="19" t="s">
        <v>156</v>
      </c>
      <c r="C91" s="19" t="s">
        <v>690</v>
      </c>
      <c r="D91" s="19" t="s">
        <v>157</v>
      </c>
      <c r="E91" s="19" t="s">
        <v>37</v>
      </c>
      <c r="F91" s="21" t="str">
        <f>HYPERLINK("http://www.rt-chemcomposite.ru/","http://www.rt-chemcomposite.ru/")</f>
        <v>http://www.rt-chemcomposite.ru/</v>
      </c>
      <c r="G91" s="21" t="str">
        <f>HYPERLINK("https://hh.ru/employer/941763","https://hh.ru/employer/941763")</f>
        <v>https://hh.ru/employer/941763</v>
      </c>
      <c r="H91" s="24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8.5" x14ac:dyDescent="0.35">
      <c r="A92" s="19">
        <v>89</v>
      </c>
      <c r="B92" s="19" t="s">
        <v>158</v>
      </c>
      <c r="C92" s="19" t="s">
        <v>690</v>
      </c>
      <c r="D92" s="19" t="s">
        <v>110</v>
      </c>
      <c r="E92" s="19" t="s">
        <v>37</v>
      </c>
      <c r="F92" s="21" t="str">
        <f>HYPERLINK("http://avicomp.ru/career","http://avicomp.ru/career")</f>
        <v>http://avicomp.ru/career</v>
      </c>
      <c r="G92" s="31" t="s">
        <v>972</v>
      </c>
      <c r="H92" s="24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8.5" x14ac:dyDescent="0.35">
      <c r="A93" s="156">
        <v>90</v>
      </c>
      <c r="B93" s="19" t="s">
        <v>973</v>
      </c>
      <c r="C93" s="19" t="s">
        <v>690</v>
      </c>
      <c r="D93" s="19" t="s">
        <v>974</v>
      </c>
      <c r="E93" s="19" t="s">
        <v>37</v>
      </c>
      <c r="F93" s="21" t="str">
        <f>HYPERLINK("http://rostec.ru/vacancy","http://rostec.ru/vacancy")</f>
        <v>http://rostec.ru/vacancy</v>
      </c>
      <c r="G93" s="21" t="str">
        <f>HYPERLINK("https://hh.ru/employer/219911","https://hh.ru/employer/219911")</f>
        <v>https://hh.ru/employer/219911</v>
      </c>
      <c r="H93" s="24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56.5" x14ac:dyDescent="0.35">
      <c r="A94" s="19">
        <v>91</v>
      </c>
      <c r="B94" s="19" t="s">
        <v>975</v>
      </c>
      <c r="C94" s="19" t="s">
        <v>700</v>
      </c>
      <c r="D94" s="19" t="s">
        <v>30</v>
      </c>
      <c r="E94" s="19" t="s">
        <v>37</v>
      </c>
      <c r="F94" s="21" t="str">
        <f>HYPERLINK("http://serbsky.ru/index.php?option=com_content&amp;view=article&amp;id=208&amp;Itemid=129","http://serbsky.ru/index.php?option=com_content&amp;view=article&amp;id=208&amp;Itemid=129")</f>
        <v>http://serbsky.ru/index.php?option=com_content&amp;view=article&amp;id=208&amp;Itemid=129</v>
      </c>
      <c r="G94" s="26"/>
      <c r="H94" s="24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42.5" x14ac:dyDescent="0.35">
      <c r="A95" s="156">
        <v>92</v>
      </c>
      <c r="B95" s="19" t="s">
        <v>977</v>
      </c>
      <c r="C95" s="19" t="s">
        <v>668</v>
      </c>
      <c r="D95" s="19" t="s">
        <v>978</v>
      </c>
      <c r="E95" s="19" t="s">
        <v>37</v>
      </c>
      <c r="F95" s="21" t="str">
        <f>HYPERLINK("http://www.msu.ru/work/vacancia.html","http://www.msu.ru/work/vacancia.html")</f>
        <v>http://www.msu.ru/work/vacancia.html</v>
      </c>
      <c r="G95" s="21" t="str">
        <f>HYPERLINK("https://hh.ru/employer/2054055","https://hh.ru/employer/2054055")</f>
        <v>https://hh.ru/employer/2054055</v>
      </c>
      <c r="H95" s="24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70.5" x14ac:dyDescent="0.35">
      <c r="A96" s="19">
        <v>93</v>
      </c>
      <c r="B96" s="19" t="s">
        <v>982</v>
      </c>
      <c r="C96" s="19" t="s">
        <v>668</v>
      </c>
      <c r="D96" s="19" t="s">
        <v>983</v>
      </c>
      <c r="E96" s="19" t="s">
        <v>37</v>
      </c>
      <c r="F96" s="21" t="str">
        <f>HYPERLINK("http://www.gubkin.ru/info/sudents_and_magisters/employment_service/contacts.php","http://www.gubkin.ru/info/sudents_and_magisters/employment_service/contacts.php")</f>
        <v>http://www.gubkin.ru/info/sudents_and_magisters/employment_service/contacts.php</v>
      </c>
      <c r="G96" s="31" t="s">
        <v>984</v>
      </c>
      <c r="H96" s="24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56.5" x14ac:dyDescent="0.35">
      <c r="A97" s="156">
        <v>94</v>
      </c>
      <c r="B97" s="19" t="s">
        <v>986</v>
      </c>
      <c r="C97" s="19" t="s">
        <v>668</v>
      </c>
      <c r="D97" s="19" t="s">
        <v>988</v>
      </c>
      <c r="E97" s="19" t="s">
        <v>37</v>
      </c>
      <c r="F97" s="21" t="str">
        <f>HYPERLINK("http://www.mma.ru/education/sdf/","http://www.mma.ru/education/sdf/")</f>
        <v>http://www.mma.ru/education/sdf/</v>
      </c>
      <c r="G97" s="21" t="str">
        <f>HYPERLINK("https://hh.ru/employer/1231723","https://hh.ru/employer/1231723")</f>
        <v>https://hh.ru/employer/1231723</v>
      </c>
      <c r="H97" s="24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8.5" x14ac:dyDescent="0.35">
      <c r="A98" s="19">
        <v>95</v>
      </c>
      <c r="B98" s="19" t="s">
        <v>164</v>
      </c>
      <c r="C98" s="19" t="s">
        <v>690</v>
      </c>
      <c r="D98" s="19" t="s">
        <v>165</v>
      </c>
      <c r="E98" s="19" t="s">
        <v>37</v>
      </c>
      <c r="F98" s="21" t="str">
        <f>HYPERLINK("http://www.rosorkk.ru/kontakty/","http://www.rosorkk.ru/kontakty/")</f>
        <v>http://www.rosorkk.ru/kontakty/</v>
      </c>
      <c r="G98" s="21" t="str">
        <f>HYPERLINK("https://hh.ru/employer/1534179","https://hh.ru/employer/1534179")</f>
        <v>https://hh.ru/employer/1534179</v>
      </c>
      <c r="H98" s="24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8.5" x14ac:dyDescent="0.35">
      <c r="A99" s="156">
        <v>96</v>
      </c>
      <c r="B99" s="19" t="s">
        <v>166</v>
      </c>
      <c r="C99" s="19" t="s">
        <v>690</v>
      </c>
      <c r="D99" s="19" t="s">
        <v>101</v>
      </c>
      <c r="E99" s="19" t="s">
        <v>37</v>
      </c>
      <c r="F99" s="21" t="str">
        <f>HYPERLINK("http://ilmixgroup.ru/index.php?id=5","http://ilmixgroup.ru/index.php?id=5")</f>
        <v>http://ilmixgroup.ru/index.php?id=5</v>
      </c>
      <c r="G99" s="26"/>
      <c r="H99" s="24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8.5" x14ac:dyDescent="0.35">
      <c r="A100" s="19">
        <v>97</v>
      </c>
      <c r="B100" s="19" t="s">
        <v>168</v>
      </c>
      <c r="C100" s="19" t="s">
        <v>690</v>
      </c>
      <c r="D100" s="19" t="s">
        <v>159</v>
      </c>
      <c r="E100" s="19" t="s">
        <v>37</v>
      </c>
      <c r="F100" s="21" t="str">
        <f>HYPERLINK("http://www.npovk.ru/kontakty.html","http://www.npovk.ru/kontakty.html")</f>
        <v>http://www.npovk.ru/kontakty.html</v>
      </c>
      <c r="G100" s="26"/>
      <c r="H100" s="24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8.5" x14ac:dyDescent="0.35">
      <c r="A101" s="156">
        <v>98</v>
      </c>
      <c r="B101" s="19" t="s">
        <v>171</v>
      </c>
      <c r="C101" s="19" t="s">
        <v>690</v>
      </c>
      <c r="D101" s="19" t="s">
        <v>107</v>
      </c>
      <c r="E101" s="19" t="s">
        <v>37</v>
      </c>
      <c r="F101" s="21" t="str">
        <f>HYPERLINK("http://www.vega.su/about/vacancy/","http://www.vega.su/about/vacancy/")</f>
        <v>http://www.vega.su/about/vacancy/</v>
      </c>
      <c r="G101" s="21" t="str">
        <f>HYPERLINK("https://hh.ru/employer/123600","https://hh.ru/employer/123600")</f>
        <v>https://hh.ru/employer/123600</v>
      </c>
      <c r="H101" s="24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42.5" x14ac:dyDescent="0.35">
      <c r="A102" s="19">
        <v>99</v>
      </c>
      <c r="B102" s="19" t="s">
        <v>992</v>
      </c>
      <c r="C102" s="19" t="s">
        <v>690</v>
      </c>
      <c r="D102" s="19" t="s">
        <v>993</v>
      </c>
      <c r="E102" s="19" t="s">
        <v>37</v>
      </c>
      <c r="F102" s="21" t="str">
        <f>HYPERLINK("http://www.almaz-antey.ru/about/vacancy/","http://www.almaz-antey.ru/about/vacancy/")</f>
        <v>http://www.almaz-antey.ru/about/vacancy/</v>
      </c>
      <c r="G102" s="21" t="str">
        <f>HYPERLINK("https://hh.ru/employer/1645903","https://hh.ru/employer/1645903")</f>
        <v>https://hh.ru/employer/1645903</v>
      </c>
      <c r="H102" s="24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42.5" x14ac:dyDescent="0.35">
      <c r="A103" s="156">
        <v>100</v>
      </c>
      <c r="B103" s="19" t="s">
        <v>704</v>
      </c>
      <c r="C103" s="19" t="s">
        <v>668</v>
      </c>
      <c r="D103" s="19" t="s">
        <v>78</v>
      </c>
      <c r="E103" s="19" t="s">
        <v>37</v>
      </c>
      <c r="F103" s="21" t="str">
        <f>HYPERLINK("http://mati.ru/index.php/kontakty","http://mati.ru/index.php/kontakty")</f>
        <v>http://mati.ru/index.php/kontakty</v>
      </c>
      <c r="G103" s="26"/>
      <c r="H103" s="24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8.5" x14ac:dyDescent="0.35">
      <c r="A104" s="19">
        <v>101</v>
      </c>
      <c r="B104" s="19" t="s">
        <v>173</v>
      </c>
      <c r="C104" s="19" t="s">
        <v>668</v>
      </c>
      <c r="D104" s="19" t="s">
        <v>167</v>
      </c>
      <c r="E104" s="19" t="s">
        <v>37</v>
      </c>
      <c r="F104" s="21" t="str">
        <f>HYPERLINK("http://www.rm.ru/contacts/","http://www.rm.ru/contacts/")</f>
        <v>http://www.rm.ru/contacts/</v>
      </c>
      <c r="G104" s="21" t="str">
        <f>HYPERLINK("https://hh.ru/employer/41287","https://hh.ru/employer/41287")</f>
        <v>https://hh.ru/employer/41287</v>
      </c>
      <c r="H104" s="24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56.5" x14ac:dyDescent="0.35">
      <c r="A105" s="156">
        <v>102</v>
      </c>
      <c r="B105" s="19" t="s">
        <v>1000</v>
      </c>
      <c r="C105" s="19" t="s">
        <v>692</v>
      </c>
      <c r="D105" s="19" t="s">
        <v>1472</v>
      </c>
      <c r="E105" s="19" t="s">
        <v>37</v>
      </c>
      <c r="F105" s="21" t="str">
        <f>HYPERLINK("http://www.gamaleya.org/index.php?option=com_content&amp;view=article&amp;id=199&amp;Itemid=44","http://www.gamaleya.org/index.php?option=com_content&amp;view=article&amp;id=199&amp;Itemid=44")</f>
        <v>http://www.gamaleya.org/index.php?option=com_content&amp;view=article&amp;id=199&amp;Itemid=44</v>
      </c>
      <c r="G105" s="26"/>
      <c r="H105" s="24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42.5" x14ac:dyDescent="0.35">
      <c r="A106" s="19">
        <v>103</v>
      </c>
      <c r="B106" s="19" t="s">
        <v>174</v>
      </c>
      <c r="C106" s="19" t="s">
        <v>692</v>
      </c>
      <c r="D106" s="19" t="s">
        <v>104</v>
      </c>
      <c r="E106" s="19" t="s">
        <v>37</v>
      </c>
      <c r="F106" s="21" t="str">
        <f>HYPERLINK("http://bochvar.ru/company/kadrovaya-politika/","http://bochvar.ru/company/kadrovaya-politika/")</f>
        <v>http://bochvar.ru/company/kadrovaya-politika/</v>
      </c>
      <c r="G106" s="21" t="str">
        <f>HYPERLINK("https://hh.ru/employer/634994","https://hh.ru/employer/634994")</f>
        <v>https://hh.ru/employer/634994</v>
      </c>
      <c r="H106" s="24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42.5" x14ac:dyDescent="0.35">
      <c r="A107" s="156">
        <v>104</v>
      </c>
      <c r="B107" s="19" t="s">
        <v>1001</v>
      </c>
      <c r="C107" s="19" t="s">
        <v>700</v>
      </c>
      <c r="D107" s="19" t="s">
        <v>1002</v>
      </c>
      <c r="E107" s="19" t="s">
        <v>37</v>
      </c>
      <c r="F107" s="21" t="str">
        <f>HYPERLINK("http://r-pharm.com/ru/section/career/","http://r-pharm.com/ru/section/career/")</f>
        <v>http://r-pharm.com/ru/section/career/</v>
      </c>
      <c r="G107" s="21" t="str">
        <f>HYPERLINK("https://hh.ru/employer/8121","https://hh.ru/employer/8121")</f>
        <v>https://hh.ru/employer/8121</v>
      </c>
      <c r="H107" s="24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56.5" x14ac:dyDescent="0.35">
      <c r="A108" s="19">
        <v>105</v>
      </c>
      <c r="B108" s="19" t="s">
        <v>1003</v>
      </c>
      <c r="C108" s="19" t="s">
        <v>700</v>
      </c>
      <c r="D108" s="19" t="s">
        <v>1471</v>
      </c>
      <c r="E108" s="19" t="s">
        <v>37</v>
      </c>
      <c r="F108" s="21" t="str">
        <f>HYPERLINK("http://transpl.ru/about_center/vacansies/","http://transpl.ru/about_center/vacansies/")</f>
        <v>http://transpl.ru/about_center/vacansies/</v>
      </c>
      <c r="G108" s="26"/>
      <c r="H108" s="24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42.5" x14ac:dyDescent="0.35">
      <c r="A109" s="156">
        <v>106</v>
      </c>
      <c r="B109" s="19" t="s">
        <v>177</v>
      </c>
      <c r="C109" s="19" t="s">
        <v>690</v>
      </c>
      <c r="D109" s="19" t="s">
        <v>170</v>
      </c>
      <c r="E109" s="19" t="s">
        <v>37</v>
      </c>
      <c r="F109" s="21" t="str">
        <f>HYPERLINK("http://www.sollers-auto.com/ru/about/career/","http://www.sollers-auto.com/ru/about/career/")</f>
        <v>http://www.sollers-auto.com/ru/about/career/</v>
      </c>
      <c r="G109" s="26"/>
      <c r="H109" s="24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8.5" x14ac:dyDescent="0.35">
      <c r="A110" s="19">
        <v>107</v>
      </c>
      <c r="B110" s="19" t="s">
        <v>179</v>
      </c>
      <c r="C110" s="19" t="s">
        <v>692</v>
      </c>
      <c r="D110" s="19" t="s">
        <v>113</v>
      </c>
      <c r="E110" s="19" t="s">
        <v>37</v>
      </c>
      <c r="F110" s="21" t="str">
        <f>HYPERLINK("http://www.phazotron.com/vakansii/","http://www.phazotron.com/vakansii/")</f>
        <v>http://www.phazotron.com/vakansii/</v>
      </c>
      <c r="G110" s="21" t="str">
        <f>HYPERLINK("https://hh.ru/employer/220102","https://hh.ru/employer/220102")</f>
        <v>https://hh.ru/employer/220102</v>
      </c>
      <c r="H110" s="24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42.5" x14ac:dyDescent="0.35">
      <c r="A111" s="156">
        <v>108</v>
      </c>
      <c r="B111" s="19" t="s">
        <v>1004</v>
      </c>
      <c r="C111" s="19" t="s">
        <v>690</v>
      </c>
      <c r="D111" s="19" t="s">
        <v>1470</v>
      </c>
      <c r="E111" s="19" t="s">
        <v>37</v>
      </c>
      <c r="F111" s="74" t="str">
        <f>HYPERLINK("http://www.russianhelicopters.aero/ru/about/career/vacancy/","http://www.russianhelicopters.aero/ru/about/career/vacancy/")</f>
        <v>http://www.russianhelicopters.aero/ru/about/career/vacancy/</v>
      </c>
      <c r="G111" s="21" t="str">
        <f>HYPERLINK("https://hh.ru/employer/217944","https://hh.ru/employer/217944")</f>
        <v>https://hh.ru/employer/217944</v>
      </c>
      <c r="H111" s="24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56.5" x14ac:dyDescent="0.35">
      <c r="A112" s="19">
        <v>109</v>
      </c>
      <c r="B112" s="19" t="s">
        <v>1005</v>
      </c>
      <c r="C112" s="19" t="s">
        <v>700</v>
      </c>
      <c r="D112" s="19" t="s">
        <v>1469</v>
      </c>
      <c r="E112" s="19" t="s">
        <v>37</v>
      </c>
      <c r="F112" s="21" t="str">
        <f>HYPERLINK("http://www.rmapo.ru/","http://www.rmapo.ru/")</f>
        <v>http://www.rmapo.ru/</v>
      </c>
      <c r="G112" s="21" t="str">
        <f>HYPERLINK("https://hh.ru/employer/1068538","https://hh.ru/employer/1068538")</f>
        <v>https://hh.ru/employer/1068538</v>
      </c>
      <c r="H112" s="24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35">
      <c r="A113" s="156">
        <v>110</v>
      </c>
      <c r="B113" s="19" t="s">
        <v>188</v>
      </c>
      <c r="C113" s="19" t="s">
        <v>690</v>
      </c>
      <c r="D113" s="19" t="s">
        <v>181</v>
      </c>
      <c r="E113" s="19" t="s">
        <v>37</v>
      </c>
      <c r="F113" s="31" t="s">
        <v>1006</v>
      </c>
      <c r="G113" s="43"/>
      <c r="H113" s="24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42.5" x14ac:dyDescent="0.35">
      <c r="A114" s="19">
        <v>111</v>
      </c>
      <c r="B114" s="19" t="s">
        <v>1007</v>
      </c>
      <c r="C114" s="19" t="s">
        <v>668</v>
      </c>
      <c r="D114" s="19" t="s">
        <v>1008</v>
      </c>
      <c r="E114" s="19" t="s">
        <v>37</v>
      </c>
      <c r="F114" s="21" t="str">
        <f>HYPERLINK("https://miet.ru/content/s/196","https://miet.ru/content/s/196")</f>
        <v>https://miet.ru/content/s/196</v>
      </c>
      <c r="G114" s="21" t="str">
        <f>HYPERLINK("https://hh.ru/employer/1889223","https://hh.ru/employer/1889223")</f>
        <v>https://hh.ru/employer/1889223</v>
      </c>
      <c r="H114" s="24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56.5" x14ac:dyDescent="0.35">
      <c r="A115" s="156">
        <v>112</v>
      </c>
      <c r="B115" s="19" t="s">
        <v>1009</v>
      </c>
      <c r="C115" s="19" t="s">
        <v>690</v>
      </c>
      <c r="D115" s="19" t="s">
        <v>1010</v>
      </c>
      <c r="E115" s="19" t="s">
        <v>37</v>
      </c>
      <c r="F115" s="21" t="str">
        <f>HYPERLINK("http://www.it.ru/career/vacancy/moscow/","http://www.it.ru/career/vacancy/moscow/")</f>
        <v>http://www.it.ru/career/vacancy/moscow/</v>
      </c>
      <c r="G115" s="21" t="str">
        <f>HYPERLINK("https://hh.ru/employer/2322","https://hh.ru/employer/2322")</f>
        <v>https://hh.ru/employer/2322</v>
      </c>
      <c r="H115" s="24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42.5" x14ac:dyDescent="0.35">
      <c r="A116" s="19">
        <v>113</v>
      </c>
      <c r="B116" s="19" t="s">
        <v>196</v>
      </c>
      <c r="C116" s="19" t="s">
        <v>690</v>
      </c>
      <c r="D116" s="19" t="s">
        <v>96</v>
      </c>
      <c r="E116" s="19" t="s">
        <v>37</v>
      </c>
      <c r="F116" s="21" t="str">
        <f>HYPERLINK("http://milandr.ru/index.php?page=nashi-koordinatu","http://milandr.ru/index.php?page=nashi-koordinatu")</f>
        <v>http://milandr.ru/index.php?page=nashi-koordinatu</v>
      </c>
      <c r="G116" s="21" t="str">
        <f>HYPERLINK("https://hh.ru/employer/849198","https://hh.ru/employer/849198")</f>
        <v>https://hh.ru/employer/849198</v>
      </c>
      <c r="H116" s="24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8.5" x14ac:dyDescent="0.35">
      <c r="A117" s="156">
        <v>114</v>
      </c>
      <c r="B117" s="19" t="s">
        <v>1011</v>
      </c>
      <c r="C117" s="19" t="s">
        <v>694</v>
      </c>
      <c r="D117" s="19" t="s">
        <v>1012</v>
      </c>
      <c r="E117" s="19" t="s">
        <v>37</v>
      </c>
      <c r="F117" s="21" t="str">
        <f>HYPERLINK("http://www.bolshoi.ru/about/hist/intro/","http://www.bolshoi.ru/about/hist/intro/")</f>
        <v>http://www.bolshoi.ru/about/hist/intro/</v>
      </c>
      <c r="G117" s="21" t="str">
        <f>HYPERLINK("https://hh.ru/employer/1412534","https://hh.ru/employer/1412534")</f>
        <v>https://hh.ru/employer/1412534</v>
      </c>
      <c r="H117" s="24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8.5" x14ac:dyDescent="0.35">
      <c r="A118" s="19">
        <v>115</v>
      </c>
      <c r="B118" s="19" t="s">
        <v>200</v>
      </c>
      <c r="C118" s="19" t="s">
        <v>690</v>
      </c>
      <c r="D118" s="19" t="s">
        <v>95</v>
      </c>
      <c r="E118" s="19" t="s">
        <v>37</v>
      </c>
      <c r="F118" s="21" t="str">
        <f>HYPERLINK("http://www.i-teco.ru/career/","http://www.i-teco.ru/career/")</f>
        <v>http://www.i-teco.ru/career/</v>
      </c>
      <c r="G118" s="21" t="str">
        <f>HYPERLINK("https://hh.ru/employer/115","https://hh.ru/employer/115")</f>
        <v>https://hh.ru/employer/115</v>
      </c>
      <c r="H118" s="24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42.5" x14ac:dyDescent="0.35">
      <c r="A119" s="156">
        <v>116</v>
      </c>
      <c r="B119" s="19" t="s">
        <v>202</v>
      </c>
      <c r="C119" s="19" t="s">
        <v>668</v>
      </c>
      <c r="D119" s="19" t="s">
        <v>85</v>
      </c>
      <c r="E119" s="19" t="s">
        <v>37</v>
      </c>
      <c r="F119" s="21" t="str">
        <f>HYPERLINK("http://www.muctr.ru/univsubs/ipr/subs/occupancy/vacancy/","http://www.muctr.ru/univsubs/ipr/subs/occupancy/vacancy/")</f>
        <v>http://www.muctr.ru/univsubs/ipr/subs/occupancy/vacancy/</v>
      </c>
      <c r="G119" s="21" t="str">
        <f>HYPERLINK("https://hh.ru/employer/171255","https://hh.ru/employer/171255")</f>
        <v>https://hh.ru/employer/171255</v>
      </c>
      <c r="H119" s="24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42.5" x14ac:dyDescent="0.35">
      <c r="A120" s="19">
        <v>117</v>
      </c>
      <c r="B120" s="19" t="s">
        <v>203</v>
      </c>
      <c r="C120" s="19" t="s">
        <v>692</v>
      </c>
      <c r="D120" s="19" t="s">
        <v>99</v>
      </c>
      <c r="E120" s="19" t="s">
        <v>37</v>
      </c>
      <c r="F120" s="21" t="str">
        <f>HYPERLINK("http://npo-nauka.ru/company/vacancies/","http://npo-nauka.ru/company/vacancies/")</f>
        <v>http://npo-nauka.ru/company/vacancies/</v>
      </c>
      <c r="G120" s="21" t="str">
        <f>HYPERLINK("https://hh.ru/employer/113336","https://hh.ru/employer/113336")</f>
        <v>https://hh.ru/employer/113336</v>
      </c>
      <c r="H120" s="24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8.5" x14ac:dyDescent="0.35">
      <c r="A121" s="156">
        <v>118</v>
      </c>
      <c r="B121" s="19" t="s">
        <v>1013</v>
      </c>
      <c r="C121" s="19" t="s">
        <v>700</v>
      </c>
      <c r="D121" s="19" t="s">
        <v>1014</v>
      </c>
      <c r="E121" s="19" t="s">
        <v>37</v>
      </c>
      <c r="F121" s="21" t="str">
        <f>HYPERLINK("http://blood.ru/about/vakansii.html","http://blood.ru/about/vakansii.html")</f>
        <v>http://blood.ru/about/vakansii.html</v>
      </c>
      <c r="G121" s="21" t="str">
        <f>HYPERLINK("https://hh.ru/employer/1360510","https://hh.ru/employer/1360510")</f>
        <v>https://hh.ru/employer/1360510</v>
      </c>
      <c r="H121" s="24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8.5" x14ac:dyDescent="0.35">
      <c r="A122" s="19">
        <v>119</v>
      </c>
      <c r="B122" s="19" t="s">
        <v>1015</v>
      </c>
      <c r="C122" s="19" t="s">
        <v>690</v>
      </c>
      <c r="D122" s="19" t="s">
        <v>1016</v>
      </c>
      <c r="E122" s="19" t="s">
        <v>37</v>
      </c>
      <c r="F122" s="21" t="str">
        <f>HYPERLINK("http://www.ilyushin.org/socpolicy/jobs/","http://www.ilyushin.org/socpolicy/jobs/")</f>
        <v>http://www.ilyushin.org/socpolicy/jobs/</v>
      </c>
      <c r="G122" s="21" t="str">
        <f>HYPERLINK("https://hh.ru/employer/154931","https://hh.ru/employer/154931")</f>
        <v>https://hh.ru/employer/154931</v>
      </c>
      <c r="H122" s="24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8.5" x14ac:dyDescent="0.35">
      <c r="A123" s="156">
        <v>120</v>
      </c>
      <c r="B123" s="19" t="s">
        <v>204</v>
      </c>
      <c r="C123" s="19" t="s">
        <v>692</v>
      </c>
      <c r="D123" s="19" t="s">
        <v>128</v>
      </c>
      <c r="E123" s="19" t="s">
        <v>37</v>
      </c>
      <c r="F123" s="21" t="str">
        <f>HYPERLINK("http://www2.viniti.ru/viniti-about/contakts","http://www2.viniti.ru/viniti-about/contakts")</f>
        <v>http://www2.viniti.ru/viniti-about/contakts</v>
      </c>
      <c r="G123" s="26"/>
      <c r="H123" s="24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8.5" x14ac:dyDescent="0.35">
      <c r="A124" s="19">
        <v>121</v>
      </c>
      <c r="B124" s="19" t="s">
        <v>1017</v>
      </c>
      <c r="C124" s="19" t="s">
        <v>690</v>
      </c>
      <c r="D124" s="19" t="s">
        <v>1018</v>
      </c>
      <c r="E124" s="19" t="s">
        <v>37</v>
      </c>
      <c r="F124" s="21" t="str">
        <f>HYPERLINK("http://www.kaspersky.ru/about/career","http://www.kaspersky.ru/about/career")</f>
        <v>http://www.kaspersky.ru/about/career</v>
      </c>
      <c r="G124" s="21" t="str">
        <f>HYPERLINK("https://hh.ru/employer/1057","https://hh.ru/employer/1057")</f>
        <v>https://hh.ru/employer/1057</v>
      </c>
      <c r="H124" s="24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42.5" x14ac:dyDescent="0.35">
      <c r="A125" s="156">
        <v>122</v>
      </c>
      <c r="B125" s="19" t="s">
        <v>1019</v>
      </c>
      <c r="C125" s="19" t="s">
        <v>690</v>
      </c>
      <c r="D125" s="19" t="s">
        <v>1020</v>
      </c>
      <c r="E125" s="19" t="s">
        <v>37</v>
      </c>
      <c r="F125" s="21" t="str">
        <f>HYPERLINK("http://tecmash.ru/karera/pomoshch-v-vybore-professii/","http://tecmash.ru/karera/pomoshch-v-vybore-professii/")</f>
        <v>http://tecmash.ru/karera/pomoshch-v-vybore-professii/</v>
      </c>
      <c r="G125" s="26"/>
      <c r="H125" s="24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42.5" x14ac:dyDescent="0.35">
      <c r="A126" s="19">
        <v>123</v>
      </c>
      <c r="B126" s="19" t="s">
        <v>1021</v>
      </c>
      <c r="C126" s="19" t="s">
        <v>690</v>
      </c>
      <c r="D126" s="19" t="s">
        <v>1022</v>
      </c>
      <c r="E126" s="19" t="s">
        <v>37</v>
      </c>
      <c r="F126" s="21" t="str">
        <f>HYPERLINK("http://www.migavia.ru/index.php/ru/vacansii-personal/vakansii","http://www.migavia.ru/index.php/ru/vacansii-personal/vakansii")</f>
        <v>http://www.migavia.ru/index.php/ru/vacansii-personal/vakansii</v>
      </c>
      <c r="G126" s="21" t="str">
        <f>HYPERLINK("https://hh.ru/employer/9114","https://hh.ru/employer/9114")</f>
        <v>https://hh.ru/employer/9114</v>
      </c>
      <c r="H126" s="24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70.5" x14ac:dyDescent="0.35">
      <c r="A127" s="156">
        <v>124</v>
      </c>
      <c r="B127" s="19" t="s">
        <v>1023</v>
      </c>
      <c r="C127" s="19" t="s">
        <v>700</v>
      </c>
      <c r="D127" s="19" t="s">
        <v>1024</v>
      </c>
      <c r="E127" s="19" t="s">
        <v>37</v>
      </c>
      <c r="F127" s="21" t="str">
        <f>HYPERLINK("http://www.mnioi.ru/about/work/","http://www.mnioi.ru/about/work/")</f>
        <v>http://www.mnioi.ru/about/work/</v>
      </c>
      <c r="G127" s="21" t="str">
        <f>HYPERLINK("https://hh.ru/employer/1422210","https://hh.ru/employer/1422210")</f>
        <v>https://hh.ru/employer/1422210</v>
      </c>
      <c r="H127" s="24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42.5" x14ac:dyDescent="0.35">
      <c r="A128" s="19">
        <v>125</v>
      </c>
      <c r="B128" s="19" t="s">
        <v>1025</v>
      </c>
      <c r="C128" s="19" t="s">
        <v>690</v>
      </c>
      <c r="D128" s="19" t="s">
        <v>1026</v>
      </c>
      <c r="E128" s="19" t="s">
        <v>37</v>
      </c>
      <c r="F128" s="21" t="str">
        <f>HYPERLINK("http://www.sukhoi.org/contacts/db_sukhoi/","http://www.sukhoi.org/contacts/db_sukhoi/")</f>
        <v>http://www.sukhoi.org/contacts/db_sukhoi/</v>
      </c>
      <c r="G128" s="21" t="str">
        <f>HYPERLINK("https://hh.ru/employer/515","https://hh.ru/employer/515")</f>
        <v>https://hh.ru/employer/515</v>
      </c>
      <c r="H128" s="24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42.5" x14ac:dyDescent="0.35">
      <c r="A129" s="156">
        <v>126</v>
      </c>
      <c r="B129" s="19" t="s">
        <v>1027</v>
      </c>
      <c r="C129" s="19" t="s">
        <v>690</v>
      </c>
      <c r="D129" s="19" t="s">
        <v>1028</v>
      </c>
      <c r="E129" s="19" t="s">
        <v>37</v>
      </c>
      <c r="F129" s="21" t="str">
        <f>HYPERLINK("http://www.sukhoi.org/","http://www.sukhoi.org/")</f>
        <v>http://www.sukhoi.org/</v>
      </c>
      <c r="G129" s="21" t="str">
        <f>HYPERLINK("https://hh.ru/employer/3471","https://hh.ru/employer/3471")</f>
        <v>https://hh.ru/employer/3471</v>
      </c>
      <c r="H129" s="24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56.5" x14ac:dyDescent="0.35">
      <c r="A130" s="19">
        <v>127</v>
      </c>
      <c r="B130" s="19" t="s">
        <v>1029</v>
      </c>
      <c r="C130" s="19" t="s">
        <v>690</v>
      </c>
      <c r="D130" s="19" t="s">
        <v>1030</v>
      </c>
      <c r="E130" s="19" t="s">
        <v>37</v>
      </c>
      <c r="F130" s="21" t="str">
        <f>HYPERLINK("http://www.sukhoi.org/contacts/rj_sukhoi/","http://www.sukhoi.org/contacts/rj_sukhoi/")</f>
        <v>http://www.sukhoi.org/contacts/rj_sukhoi/</v>
      </c>
      <c r="G130" s="21" t="str">
        <f>HYPERLINK("https://hh.ru/employer/8060","https://hh.ru/employer/8060")</f>
        <v>https://hh.ru/employer/8060</v>
      </c>
      <c r="H130" s="24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8.5" x14ac:dyDescent="0.35">
      <c r="A131" s="156">
        <v>128</v>
      </c>
      <c r="B131" s="19" t="s">
        <v>1031</v>
      </c>
      <c r="C131" s="19" t="s">
        <v>690</v>
      </c>
      <c r="D131" s="19" t="s">
        <v>1032</v>
      </c>
      <c r="E131" s="19" t="s">
        <v>37</v>
      </c>
      <c r="F131" s="21" t="str">
        <f>HYPERLINK("http://aerocomposit.ru/vakansii/","http://aerocomposit.ru/vakansii/")</f>
        <v>http://aerocomposit.ru/vakansii/</v>
      </c>
      <c r="G131" s="21" t="str">
        <f>HYPERLINK("https://hh.ru/employer/566700","https://hh.ru/employer/566700")</f>
        <v>https://hh.ru/employer/566700</v>
      </c>
      <c r="H131" s="24"/>
      <c r="I131" s="44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8.5" x14ac:dyDescent="0.35">
      <c r="A132" s="19">
        <v>129</v>
      </c>
      <c r="B132" s="19" t="s">
        <v>1033</v>
      </c>
      <c r="C132" s="19" t="s">
        <v>690</v>
      </c>
      <c r="D132" s="19" t="s">
        <v>44</v>
      </c>
      <c r="E132" s="19" t="s">
        <v>37</v>
      </c>
      <c r="F132" s="21" t="str">
        <f>HYPERLINK("http://uac-gp.ru/contacts/","http://uac-gp.ru/contacts/")</f>
        <v>http://uac-gp.ru/contacts/</v>
      </c>
      <c r="G132" s="21" t="str">
        <f>HYPERLINK("https://hh.ru/employer/1550068","https://hh.ru/employer/1550068")</f>
        <v>https://hh.ru/employer/1550068</v>
      </c>
      <c r="H132" s="24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8.5" x14ac:dyDescent="0.35">
      <c r="A133" s="156">
        <v>130</v>
      </c>
      <c r="B133" s="19" t="s">
        <v>1034</v>
      </c>
      <c r="C133" s="19" t="s">
        <v>690</v>
      </c>
      <c r="D133" s="19" t="s">
        <v>1035</v>
      </c>
      <c r="E133" s="19" t="s">
        <v>37</v>
      </c>
      <c r="F133" s="21" t="str">
        <f>HYPERLINK("http://www.irkut.com/job/","http://www.irkut.com/job/")</f>
        <v>http://www.irkut.com/job/</v>
      </c>
      <c r="G133" s="21" t="str">
        <f>HYPERLINK("https://hh.ru/employer/1738","https://hh.ru/employer/1738")</f>
        <v>https://hh.ru/employer/1738</v>
      </c>
      <c r="H133" s="24"/>
      <c r="I133" s="44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8.5" x14ac:dyDescent="0.35">
      <c r="A134" s="19">
        <v>131</v>
      </c>
      <c r="B134" s="19" t="s">
        <v>218</v>
      </c>
      <c r="C134" s="19" t="s">
        <v>700</v>
      </c>
      <c r="D134" s="19" t="s">
        <v>151</v>
      </c>
      <c r="E134" s="19" t="s">
        <v>37</v>
      </c>
      <c r="F134" s="74" t="str">
        <f>HYPERLINK("http://www.academpharm.ru/contacts.html","http://www.academpharm.ru/contacts.html")</f>
        <v>http://www.academpharm.ru/contacts.html</v>
      </c>
      <c r="G134" s="26"/>
      <c r="H134" s="24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42.5" x14ac:dyDescent="0.35">
      <c r="A135" s="156">
        <v>132</v>
      </c>
      <c r="B135" s="19" t="s">
        <v>705</v>
      </c>
      <c r="C135" s="19" t="s">
        <v>668</v>
      </c>
      <c r="D135" s="19" t="s">
        <v>88</v>
      </c>
      <c r="E135" s="19" t="s">
        <v>37</v>
      </c>
      <c r="F135" s="21" t="str">
        <f>HYPERLINK("http://www.madi.ru/140-otdel-kadrov.html","http://www.madi.ru/140-otdel-kadrov.html")</f>
        <v>http://www.madi.ru/140-otdel-kadrov.html</v>
      </c>
      <c r="G135" s="21" t="str">
        <f>HYPERLINK("https://hh.ru/employer/1643277","https://hh.ru/employer/1643277")</f>
        <v>https://hh.ru/employer/1643277</v>
      </c>
      <c r="H135" s="24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8.5" x14ac:dyDescent="0.35">
      <c r="A136" s="19">
        <v>133</v>
      </c>
      <c r="B136" s="19" t="s">
        <v>219</v>
      </c>
      <c r="C136" s="19" t="s">
        <v>690</v>
      </c>
      <c r="D136" s="19" t="s">
        <v>1036</v>
      </c>
      <c r="E136" s="19" t="s">
        <v>37</v>
      </c>
      <c r="F136" s="21" t="str">
        <f>HYPERLINK("http://www.uac-ic.ru/","http://www.uac-ic.ru/")</f>
        <v>http://www.uac-ic.ru/</v>
      </c>
      <c r="G136" s="21" t="str">
        <f>HYPERLINK("https://hh.ru/employer/1109450","https://hh.ru/employer/1109450")</f>
        <v>https://hh.ru/employer/1109450</v>
      </c>
      <c r="H136" s="24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35">
      <c r="A137" s="156">
        <v>134</v>
      </c>
      <c r="B137" s="19" t="s">
        <v>220</v>
      </c>
      <c r="C137" s="19" t="s">
        <v>690</v>
      </c>
      <c r="D137" s="19" t="s">
        <v>160</v>
      </c>
      <c r="E137" s="19" t="s">
        <v>37</v>
      </c>
      <c r="F137" s="21" t="str">
        <f>HYPERLINK("http://www.avia500.ru/","http://www.avia500.ru/")</f>
        <v>http://www.avia500.ru/</v>
      </c>
      <c r="G137" s="26"/>
      <c r="H137" s="24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42.5" x14ac:dyDescent="0.35">
      <c r="A138" s="19">
        <v>135</v>
      </c>
      <c r="B138" s="19" t="s">
        <v>221</v>
      </c>
      <c r="C138" s="19" t="s">
        <v>690</v>
      </c>
      <c r="D138" s="19" t="s">
        <v>163</v>
      </c>
      <c r="E138" s="19" t="s">
        <v>37</v>
      </c>
      <c r="F138" s="21" t="str">
        <f>HYPERLINK("http://www.mechel.ru/about/pravleniye/ooo_uk_mechel_stal/","http://www.mechel.ru/about/pravleniye/ooo_uk_mechel_stal/")</f>
        <v>http://www.mechel.ru/about/pravleniye/ooo_uk_mechel_stal/</v>
      </c>
      <c r="G138" s="21"/>
      <c r="H138" s="24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42.5" x14ac:dyDescent="0.35">
      <c r="A139" s="156">
        <v>136</v>
      </c>
      <c r="B139" s="19" t="s">
        <v>1037</v>
      </c>
      <c r="C139" s="19" t="s">
        <v>668</v>
      </c>
      <c r="D139" s="19" t="s">
        <v>1038</v>
      </c>
      <c r="E139" s="19" t="s">
        <v>37</v>
      </c>
      <c r="F139" s="74" t="str">
        <f>HYPERLINK("http://www.mai.ru/common/contacts/","http://www.mai.ru/common/contacts/")</f>
        <v>http://www.mai.ru/common/contacts/</v>
      </c>
      <c r="G139" s="21" t="str">
        <f>HYPERLINK("https://hh.ru/employer/1758170","https://hh.ru/employer/1758170")</f>
        <v>https://hh.ru/employer/1758170</v>
      </c>
      <c r="H139" s="24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42.5" x14ac:dyDescent="0.35">
      <c r="A140" s="19">
        <v>137</v>
      </c>
      <c r="B140" s="19" t="s">
        <v>225</v>
      </c>
      <c r="C140" s="19" t="s">
        <v>690</v>
      </c>
      <c r="D140" s="19" t="s">
        <v>162</v>
      </c>
      <c r="E140" s="19" t="s">
        <v>37</v>
      </c>
      <c r="F140" s="21" t="str">
        <f>HYPERLINK("http://www.mechel.ru/about/pravleniye/ooo_uk_mechel_mining/","http://www.mechel.ru/about/pravleniye/ooo_uk_mechel_mining/")</f>
        <v>http://www.mechel.ru/about/pravleniye/ooo_uk_mechel_mining/</v>
      </c>
      <c r="G140" s="21"/>
      <c r="H140" s="24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42.5" x14ac:dyDescent="0.35">
      <c r="A141" s="156">
        <v>138</v>
      </c>
      <c r="B141" s="19" t="s">
        <v>227</v>
      </c>
      <c r="C141" s="19" t="s">
        <v>690</v>
      </c>
      <c r="D141" s="19" t="s">
        <v>161</v>
      </c>
      <c r="E141" s="19" t="s">
        <v>37</v>
      </c>
      <c r="F141" s="21" t="str">
        <f>HYPERLINK("http://www.mechel.ru/social_policy/human_capital/","http://www.mechel.ru/social_policy/human_capital/")</f>
        <v>http://www.mechel.ru/social_policy/human_capital/</v>
      </c>
      <c r="G141" s="31" t="s">
        <v>1039</v>
      </c>
      <c r="H141" s="24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8.5" x14ac:dyDescent="0.35">
      <c r="A142" s="19">
        <v>139</v>
      </c>
      <c r="B142" s="19" t="s">
        <v>228</v>
      </c>
      <c r="C142" s="19" t="s">
        <v>690</v>
      </c>
      <c r="D142" s="19" t="s">
        <v>155</v>
      </c>
      <c r="E142" s="19" t="s">
        <v>37</v>
      </c>
      <c r="F142" s="21" t="str">
        <f>HYPERLINK("http://www.acumatica.com/","http://www.acumatica.com/")</f>
        <v>http://www.acumatica.com/</v>
      </c>
      <c r="G142" s="21" t="str">
        <f>HYPERLINK("https://hh.ru/employer/1055151","https://hh.ru/employer/1055151")</f>
        <v>https://hh.ru/employer/1055151</v>
      </c>
      <c r="H142" s="27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8.5" x14ac:dyDescent="0.35">
      <c r="A143" s="156">
        <v>140</v>
      </c>
      <c r="B143" s="19" t="s">
        <v>1040</v>
      </c>
      <c r="C143" s="19" t="s">
        <v>692</v>
      </c>
      <c r="D143" s="19" t="s">
        <v>58</v>
      </c>
      <c r="E143" s="19" t="s">
        <v>37</v>
      </c>
      <c r="F143" s="21" t="str">
        <f>HYPERLINK("http://cniiag.ru/vacancy/","http://cniiag.ru/vacancy/")</f>
        <v>http://cniiag.ru/vacancy/</v>
      </c>
      <c r="G143" s="21" t="str">
        <f>HYPERLINK("https://hh.ru/employer/1075252","https://hh.ru/employer/1075252")</f>
        <v>https://hh.ru/employer/1075252</v>
      </c>
      <c r="H143" s="27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42.5" x14ac:dyDescent="0.35">
      <c r="A144" s="19">
        <v>141</v>
      </c>
      <c r="B144" s="19" t="s">
        <v>1041</v>
      </c>
      <c r="C144" s="19" t="s">
        <v>690</v>
      </c>
      <c r="D144" s="19" t="s">
        <v>1042</v>
      </c>
      <c r="E144" s="19" t="s">
        <v>37</v>
      </c>
      <c r="F144" s="31" t="s">
        <v>1043</v>
      </c>
      <c r="G144" s="21" t="str">
        <f>HYPERLINK("https://hh.ru/employer/956196","https://hh.ru/employer/956196")</f>
        <v>https://hh.ru/employer/956196</v>
      </c>
      <c r="H144" s="27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56.5" x14ac:dyDescent="0.35">
      <c r="A145" s="156">
        <v>142</v>
      </c>
      <c r="B145" s="19" t="s">
        <v>1044</v>
      </c>
      <c r="C145" s="19" t="s">
        <v>692</v>
      </c>
      <c r="D145" s="19" t="s">
        <v>1045</v>
      </c>
      <c r="E145" s="19" t="s">
        <v>37</v>
      </c>
      <c r="F145" s="21" t="str">
        <f>HYPERLINK("http://www.rti-mints.ru/vakansii/","http://www.rti-mints.ru/vakansii/")</f>
        <v>http://www.rti-mints.ru/vakansii/</v>
      </c>
      <c r="G145" s="21" t="str">
        <f>HYPERLINK("https://hh.ru/employer/58193","https://hh.ru/employer/58193")</f>
        <v>https://hh.ru/employer/58193</v>
      </c>
      <c r="H145" s="27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8.5" x14ac:dyDescent="0.35">
      <c r="A146" s="19">
        <v>143</v>
      </c>
      <c r="B146" s="19" t="s">
        <v>231</v>
      </c>
      <c r="C146" s="19" t="s">
        <v>690</v>
      </c>
      <c r="D146" s="19" t="s">
        <v>103</v>
      </c>
      <c r="E146" s="19" t="s">
        <v>37</v>
      </c>
      <c r="F146" s="21" t="str">
        <f>HYPERLINK("http://mrcb.ru/about/vakansii/","http://mrcb.ru/about/vakansii/")</f>
        <v>http://mrcb.ru/about/vakansii/</v>
      </c>
      <c r="G146" s="21" t="str">
        <f>HYPERLINK("https://hh.ru/employer/499","https://hh.ru/employer/499")</f>
        <v>https://hh.ru/employer/499</v>
      </c>
      <c r="H146" s="27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42.5" x14ac:dyDescent="0.35">
      <c r="A147" s="156">
        <v>144</v>
      </c>
      <c r="B147" s="19" t="s">
        <v>1046</v>
      </c>
      <c r="C147" s="19" t="s">
        <v>690</v>
      </c>
      <c r="D147" s="19" t="s">
        <v>1047</v>
      </c>
      <c r="E147" s="19" t="s">
        <v>37</v>
      </c>
      <c r="F147" s="21" t="str">
        <f>HYPERLINK("https://www.abbyy.com/ru-ru/vacancy/","https://www.abbyy.com/ru-ru/vacancy/")</f>
        <v>https://www.abbyy.com/ru-ru/vacancy/</v>
      </c>
      <c r="G147" s="21" t="str">
        <f>HYPERLINK("https://hh.ru/employer/301","https://hh.ru/employer/301")</f>
        <v>https://hh.ru/employer/301</v>
      </c>
      <c r="H147" s="27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8.5" x14ac:dyDescent="0.35">
      <c r="A148" s="19">
        <v>145</v>
      </c>
      <c r="B148" s="19" t="s">
        <v>1048</v>
      </c>
      <c r="C148" s="19" t="s">
        <v>700</v>
      </c>
      <c r="D148" s="19" t="s">
        <v>1468</v>
      </c>
      <c r="E148" s="19" t="s">
        <v>37</v>
      </c>
      <c r="F148" s="21" t="str">
        <f>HYPERLINK("http://profitpharm.ru/jobs","http://profitpharm.ru/jobs")</f>
        <v>http://profitpharm.ru/jobs</v>
      </c>
      <c r="G148" s="21" t="str">
        <f>HYPERLINK("https://hh.ru/employer/1096883","https://hh.ru/employer/1096883")</f>
        <v>https://hh.ru/employer/1096883</v>
      </c>
      <c r="H148" s="27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8.5" x14ac:dyDescent="0.35">
      <c r="A149" s="156">
        <v>146</v>
      </c>
      <c r="B149" s="19" t="s">
        <v>1049</v>
      </c>
      <c r="C149" s="19" t="s">
        <v>690</v>
      </c>
      <c r="D149" s="19" t="s">
        <v>1050</v>
      </c>
      <c r="E149" s="19" t="s">
        <v>37</v>
      </c>
      <c r="F149" s="21" t="str">
        <f>HYPERLINK("http://www.lemz.ru/views/job/vacancy","http://www.lemz.ru/views/job/vacancy")</f>
        <v>http://www.lemz.ru/views/job/vacancy</v>
      </c>
      <c r="G149" s="26"/>
      <c r="H149" s="24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42.5" x14ac:dyDescent="0.35">
      <c r="A150" s="19">
        <v>147</v>
      </c>
      <c r="B150" s="19" t="s">
        <v>236</v>
      </c>
      <c r="C150" s="19" t="s">
        <v>692</v>
      </c>
      <c r="D150" s="19" t="s">
        <v>146</v>
      </c>
      <c r="E150" s="19" t="s">
        <v>37</v>
      </c>
      <c r="F150" s="21" t="str">
        <f>HYPERLINK("http://www.ceerb.ru/Kontakti.html","http://www.ceerb.ru/Kontakti.html")</f>
        <v>http://www.ceerb.ru/Kontakti.html</v>
      </c>
      <c r="G150" s="26"/>
      <c r="H150" s="24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8.5" x14ac:dyDescent="0.35">
      <c r="A151" s="156">
        <v>148</v>
      </c>
      <c r="B151" s="19" t="s">
        <v>1051</v>
      </c>
      <c r="C151" s="19" t="s">
        <v>690</v>
      </c>
      <c r="D151" s="19" t="s">
        <v>1052</v>
      </c>
      <c r="E151" s="19" t="s">
        <v>37</v>
      </c>
      <c r="F151" s="21" t="str">
        <f>HYPERLINK("http://www.ibs.ru/career/jobs/","http://www.ibs.ru/career/jobs/")</f>
        <v>http://www.ibs.ru/career/jobs/</v>
      </c>
      <c r="G151" s="21" t="str">
        <f>HYPERLINK("https://hh.ru/employer/139","https://hh.ru/employer/139")</f>
        <v>https://hh.ru/employer/139</v>
      </c>
      <c r="H151" s="27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56.5" x14ac:dyDescent="0.35">
      <c r="A152" s="19">
        <v>149</v>
      </c>
      <c r="B152" s="19" t="s">
        <v>1053</v>
      </c>
      <c r="C152" s="19" t="s">
        <v>668</v>
      </c>
      <c r="D152" s="19" t="s">
        <v>1054</v>
      </c>
      <c r="E152" s="19" t="s">
        <v>37</v>
      </c>
      <c r="F152" s="31" t="s">
        <v>1055</v>
      </c>
      <c r="G152" s="43"/>
      <c r="H152" s="24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8.5" x14ac:dyDescent="0.35">
      <c r="A153" s="156">
        <v>150</v>
      </c>
      <c r="B153" s="19" t="s">
        <v>249</v>
      </c>
      <c r="C153" s="19" t="s">
        <v>690</v>
      </c>
      <c r="D153" s="19" t="s">
        <v>153</v>
      </c>
      <c r="E153" s="19" t="s">
        <v>37</v>
      </c>
      <c r="F153" s="21" t="str">
        <f>HYPERLINK("http://www.acronis.com/ru-ru/","http://www.acronis.com/ru-ru/")</f>
        <v>http://www.acronis.com/ru-ru/</v>
      </c>
      <c r="G153" s="21" t="str">
        <f>HYPERLINK("https://hh.ru/employer/7311","https://hh.ru/employer/7311")</f>
        <v>https://hh.ru/employer/7311</v>
      </c>
      <c r="H153" s="24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42.5" x14ac:dyDescent="0.35">
      <c r="A154" s="19">
        <v>151</v>
      </c>
      <c r="B154" s="19" t="s">
        <v>252</v>
      </c>
      <c r="C154" s="19" t="s">
        <v>668</v>
      </c>
      <c r="D154" s="19" t="s">
        <v>84</v>
      </c>
      <c r="E154" s="19" t="s">
        <v>37</v>
      </c>
      <c r="F154" s="21" t="str">
        <f>HYPERLINK("http://www.stankin.ru/for-entrants/preparation-for-the-entrance/","http://www.stankin.ru/for-entrants/preparation-for-the-entrance/")</f>
        <v>http://www.stankin.ru/for-entrants/preparation-for-the-entrance/</v>
      </c>
      <c r="G154" s="21" t="str">
        <f>HYPERLINK("https://hh.ru/employer/88987","https://hh.ru/employer/88987")</f>
        <v>https://hh.ru/employer/88987</v>
      </c>
      <c r="H154" s="24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42.5" x14ac:dyDescent="0.35">
      <c r="A155" s="156">
        <v>152</v>
      </c>
      <c r="B155" s="19" t="s">
        <v>1056</v>
      </c>
      <c r="C155" s="19" t="s">
        <v>668</v>
      </c>
      <c r="D155" s="19" t="s">
        <v>1467</v>
      </c>
      <c r="E155" s="19" t="s">
        <v>37</v>
      </c>
      <c r="F155" s="21" t="str">
        <f>HYPERLINK("http://miit.ru/","http://miit.ru/")</f>
        <v>http://miit.ru/</v>
      </c>
      <c r="G155" s="26"/>
      <c r="H155" s="24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42.5" x14ac:dyDescent="0.35">
      <c r="A156" s="19">
        <v>153</v>
      </c>
      <c r="B156" s="19" t="s">
        <v>1057</v>
      </c>
      <c r="C156" s="19" t="s">
        <v>668</v>
      </c>
      <c r="D156" s="19" t="s">
        <v>1058</v>
      </c>
      <c r="E156" s="19" t="s">
        <v>37</v>
      </c>
      <c r="F156" s="21" t="str">
        <f>HYPERLINK("http://mgsu.ru/employees/Upravlenie_kadrov/vakansii/","http://mgsu.ru/employees/Upravlenie_kadrov/vakansii/")</f>
        <v>http://mgsu.ru/employees/Upravlenie_kadrov/vakansii/</v>
      </c>
      <c r="G156" s="21" t="str">
        <f>HYPERLINK("https://hh.ru/employer/43815","https://hh.ru/employer/43815")</f>
        <v>https://hh.ru/employer/43815</v>
      </c>
      <c r="H156" s="24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42.5" x14ac:dyDescent="0.35">
      <c r="A157" s="156">
        <v>154</v>
      </c>
      <c r="B157" s="19" t="s">
        <v>1059</v>
      </c>
      <c r="C157" s="19" t="s">
        <v>694</v>
      </c>
      <c r="D157" s="19" t="s">
        <v>1060</v>
      </c>
      <c r="E157" s="19" t="s">
        <v>37</v>
      </c>
      <c r="F157" s="75" t="str">
        <f>HYPERLINK("http://www.heritage-institute.ru/","http://www.heritage-institute.ru/")</f>
        <v>http://www.heritage-institute.ru/</v>
      </c>
      <c r="G157" s="21" t="str">
        <f>HYPERLINK("https://hh.ru/employer/538987","https://hh.ru/employer/538987")</f>
        <v>https://hh.ru/employer/538987</v>
      </c>
      <c r="H157" s="24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42.5" x14ac:dyDescent="0.35">
      <c r="A158" s="19">
        <v>155</v>
      </c>
      <c r="B158" s="19" t="s">
        <v>255</v>
      </c>
      <c r="C158" s="19" t="s">
        <v>692</v>
      </c>
      <c r="D158" s="19" t="s">
        <v>148</v>
      </c>
      <c r="E158" s="19" t="s">
        <v>37</v>
      </c>
      <c r="F158" s="74" t="str">
        <f>HYPERLINK("http://vniiz.org/vacancy.aspx","http://vniiz.org/vacancy.aspx")</f>
        <v>http://vniiz.org/vacancy.aspx</v>
      </c>
      <c r="G158" s="21" t="str">
        <f>HYPERLINK("https://hh.ru/employer/2337640","https://hh.ru/employer/2337640")</f>
        <v>https://hh.ru/employer/2337640</v>
      </c>
      <c r="H158" s="24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42.5" x14ac:dyDescent="0.35">
      <c r="A159" s="156">
        <v>156</v>
      </c>
      <c r="B159" s="19" t="s">
        <v>256</v>
      </c>
      <c r="C159" s="19" t="s">
        <v>692</v>
      </c>
      <c r="D159" s="19" t="s">
        <v>142</v>
      </c>
      <c r="E159" s="19" t="s">
        <v>37</v>
      </c>
      <c r="F159" s="21" t="str">
        <f>HYPERLINK("http://vniivsge.ru/","http://vniivsge.ru/")</f>
        <v>http://vniivsge.ru/</v>
      </c>
      <c r="G159" s="26"/>
      <c r="H159" s="24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8.5" x14ac:dyDescent="0.35">
      <c r="A160" s="19">
        <v>157</v>
      </c>
      <c r="B160" s="19" t="s">
        <v>254</v>
      </c>
      <c r="C160" s="19" t="s">
        <v>690</v>
      </c>
      <c r="D160" s="19" t="s">
        <v>172</v>
      </c>
      <c r="E160" s="19" t="s">
        <v>37</v>
      </c>
      <c r="F160" s="21" t="str">
        <f>HYPERLINK("http://www.khrunichev.ru/main.php?id=35","http://www.khrunichev.ru/main.php?id=35")</f>
        <v>http://www.khrunichev.ru/main.php?id=35</v>
      </c>
      <c r="G160" s="21" t="str">
        <f>HYPERLINK("https://hh.ru/employer/137955","https://hh.ru/employer/137955")</f>
        <v>https://hh.ru/employer/137955</v>
      </c>
      <c r="H160" s="24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56.5" x14ac:dyDescent="0.35">
      <c r="A161" s="156">
        <v>158</v>
      </c>
      <c r="B161" s="19" t="s">
        <v>1466</v>
      </c>
      <c r="C161" s="19" t="s">
        <v>692</v>
      </c>
      <c r="D161" s="19" t="s">
        <v>140</v>
      </c>
      <c r="E161" s="19" t="s">
        <v>37</v>
      </c>
      <c r="F161" s="21" t="str">
        <f>HYPERLINK("http://www.vnioptush.ru/index.php?option=com_content&amp;view=article&amp;id=72&amp;Itemid=82","http://www.vnioptush.ru/index.php?option=com_content&amp;view=article&amp;id=72&amp;Itemid=82")</f>
        <v>http://www.vnioptush.ru/index.php?option=com_content&amp;view=article&amp;id=72&amp;Itemid=82</v>
      </c>
      <c r="G161" s="26"/>
      <c r="H161" s="24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42.5" x14ac:dyDescent="0.35">
      <c r="A162" s="19">
        <v>159</v>
      </c>
      <c r="B162" s="19" t="s">
        <v>1061</v>
      </c>
      <c r="C162" s="19" t="s">
        <v>668</v>
      </c>
      <c r="D162" s="19" t="s">
        <v>1062</v>
      </c>
      <c r="E162" s="19" t="s">
        <v>37</v>
      </c>
      <c r="F162" s="21" t="str">
        <f>HYPERLINK("http://www.msses.ru/contacts/","http://www.msses.ru/contacts/")</f>
        <v>http://www.msses.ru/contacts/</v>
      </c>
      <c r="G162" s="21" t="str">
        <f>HYPERLINK("https://hh.ru/employer/81094","https://hh.ru/employer/81094")</f>
        <v>https://hh.ru/employer/81094</v>
      </c>
      <c r="H162" s="24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42.5" x14ac:dyDescent="0.35">
      <c r="A163" s="156">
        <v>160</v>
      </c>
      <c r="B163" s="19" t="s">
        <v>1063</v>
      </c>
      <c r="C163" s="19" t="s">
        <v>690</v>
      </c>
      <c r="D163" s="19" t="s">
        <v>1064</v>
      </c>
      <c r="E163" s="19" t="s">
        <v>37</v>
      </c>
      <c r="F163" s="21" t="str">
        <f>HYPERLINK("http://www.technodinamika.ru/career/vacancy/","http://www.technodinamika.ru/career/vacancy/")</f>
        <v>http://www.technodinamika.ru/career/vacancy/</v>
      </c>
      <c r="G163" s="21" t="str">
        <f>HYPERLINK("https://hh.ru/employer/926876","https://hh.ru/employer/926876")</f>
        <v>https://hh.ru/employer/926876</v>
      </c>
      <c r="H163" s="24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42.5" x14ac:dyDescent="0.35">
      <c r="A164" s="19">
        <v>161</v>
      </c>
      <c r="B164" s="19" t="s">
        <v>1065</v>
      </c>
      <c r="C164" s="19" t="s">
        <v>668</v>
      </c>
      <c r="D164" s="19" t="s">
        <v>1066</v>
      </c>
      <c r="E164" s="19" t="s">
        <v>37</v>
      </c>
      <c r="F164" s="21" t="str">
        <f>HYPERLINK("http://www.fa.ru/dep/personalc/vacansies/Pages/default.aspx","http://www.fa.ru/dep/personalc/vacansies/Pages/default.aspx")</f>
        <v>http://www.fa.ru/dep/personalc/vacansies/Pages/default.aspx</v>
      </c>
      <c r="G164" s="26"/>
      <c r="H164" s="24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8.5" x14ac:dyDescent="0.35">
      <c r="A165" s="156">
        <v>162</v>
      </c>
      <c r="B165" s="19" t="s">
        <v>1067</v>
      </c>
      <c r="C165" s="19" t="s">
        <v>690</v>
      </c>
      <c r="D165" s="19" t="s">
        <v>1068</v>
      </c>
      <c r="E165" s="19" t="s">
        <v>37</v>
      </c>
      <c r="F165" s="21" t="str">
        <f>HYPERLINK("https://yandex.ru/jobs/?cities=213","https://yandex.ru/jobs/?cities=213")</f>
        <v>https://yandex.ru/jobs/?cities=213</v>
      </c>
      <c r="G165" s="21" t="str">
        <f>HYPERLINK("https://hh.ru/employer/1740","https://hh.ru/employer/1740")</f>
        <v>https://hh.ru/employer/1740</v>
      </c>
      <c r="H165" s="24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42.5" x14ac:dyDescent="0.35">
      <c r="A166" s="19">
        <v>163</v>
      </c>
      <c r="B166" s="19" t="s">
        <v>1069</v>
      </c>
      <c r="C166" s="19" t="s">
        <v>692</v>
      </c>
      <c r="D166" s="19" t="s">
        <v>1070</v>
      </c>
      <c r="E166" s="19" t="s">
        <v>37</v>
      </c>
      <c r="F166" s="21" t="str">
        <f>HYPERLINK("http://www.ibmc.msk.ru/ru/contacts","http://www.ibmc.msk.ru/ru/contacts")</f>
        <v>http://www.ibmc.msk.ru/ru/contacts</v>
      </c>
      <c r="G166" s="21" t="str">
        <f>HYPERLINK("https://hh.ru/employer/1160724","https://hh.ru/employer/1160724")</f>
        <v>https://hh.ru/employer/1160724</v>
      </c>
      <c r="H166" s="24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56.5" x14ac:dyDescent="0.35">
      <c r="A167" s="156">
        <v>164</v>
      </c>
      <c r="B167" s="19" t="s">
        <v>1071</v>
      </c>
      <c r="C167" s="19" t="s">
        <v>668</v>
      </c>
      <c r="D167" s="19" t="s">
        <v>1062</v>
      </c>
      <c r="E167" s="19" t="s">
        <v>37</v>
      </c>
      <c r="F167" s="21" t="str">
        <f>HYPERLINK("http://www.ranepa.ru/kontakty","http://www.ranepa.ru/kontakty")</f>
        <v>http://www.ranepa.ru/kontakty</v>
      </c>
      <c r="G167" s="21" t="str">
        <f>HYPERLINK("https://hh.ru/employer/1120964","https://hh.ru/employer/1120964")</f>
        <v>https://hh.ru/employer/1120964</v>
      </c>
      <c r="H167" s="24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42" x14ac:dyDescent="0.35">
      <c r="A168" s="19">
        <v>165</v>
      </c>
      <c r="B168" s="34" t="s">
        <v>1072</v>
      </c>
      <c r="C168" s="19" t="s">
        <v>668</v>
      </c>
      <c r="D168" s="19" t="s">
        <v>1073</v>
      </c>
      <c r="E168" s="19" t="s">
        <v>37</v>
      </c>
      <c r="F168" s="21" t="str">
        <f>HYPERLINK("http://www.marhi.ru/contacts/","http://www.marhi.ru/contacts/")</f>
        <v>http://www.marhi.ru/contacts/</v>
      </c>
      <c r="G168" s="26"/>
      <c r="H168" s="24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42.5" x14ac:dyDescent="0.35">
      <c r="A169" s="156">
        <v>166</v>
      </c>
      <c r="B169" s="19" t="s">
        <v>1074</v>
      </c>
      <c r="C169" s="19" t="s">
        <v>668</v>
      </c>
      <c r="D169" s="19" t="s">
        <v>1075</v>
      </c>
      <c r="E169" s="19" t="s">
        <v>37</v>
      </c>
      <c r="F169" s="21" t="str">
        <f>HYPERLINK("http://nami.ru/vacancies","http://nami.ru/vacancies")</f>
        <v>http://nami.ru/vacancies</v>
      </c>
      <c r="G169" s="21" t="str">
        <f>HYPERLINK("https://hh.ru/employer/173163?customDomain=1","https://hh.ru/employer/173163?customDomain=1")</f>
        <v>https://hh.ru/employer/173163?customDomain=1</v>
      </c>
      <c r="H169" s="24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56.5" x14ac:dyDescent="0.35">
      <c r="A170" s="19">
        <v>167</v>
      </c>
      <c r="B170" s="19" t="s">
        <v>1076</v>
      </c>
      <c r="C170" s="19" t="s">
        <v>1077</v>
      </c>
      <c r="D170" s="19" t="s">
        <v>1078</v>
      </c>
      <c r="E170" s="19" t="s">
        <v>37</v>
      </c>
      <c r="F170" s="21" t="str">
        <f>HYPERLINK("http://fondvostok.ru/o-fonde/karera/","http://fondvostok.ru/o-fonde/karera/")</f>
        <v>http://fondvostok.ru/o-fonde/karera/</v>
      </c>
      <c r="G170" s="26"/>
      <c r="H170" s="24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8.5" x14ac:dyDescent="0.35">
      <c r="A171" s="156">
        <v>168</v>
      </c>
      <c r="B171" s="77" t="s">
        <v>1079</v>
      </c>
      <c r="C171" s="19" t="s">
        <v>690</v>
      </c>
      <c r="D171" s="19" t="s">
        <v>1080</v>
      </c>
      <c r="E171" s="19" t="s">
        <v>37</v>
      </c>
      <c r="F171" s="26"/>
      <c r="G171" s="26"/>
      <c r="H171" s="24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8.5" x14ac:dyDescent="0.35">
      <c r="A172" s="19">
        <v>169</v>
      </c>
      <c r="B172" s="77" t="s">
        <v>1081</v>
      </c>
      <c r="C172" s="19" t="s">
        <v>692</v>
      </c>
      <c r="D172" s="19" t="s">
        <v>1082</v>
      </c>
      <c r="E172" s="19" t="s">
        <v>37</v>
      </c>
      <c r="F172" s="21" t="str">
        <f>HYPERLINK("http://idg.chph.ras.ru/ru/watch/aboutinst","http://idg.chph.ras.ru/ru/watch/aboutinst")</f>
        <v>http://idg.chph.ras.ru/ru/watch/aboutinst</v>
      </c>
      <c r="G172" s="26"/>
      <c r="H172" s="24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8.5" x14ac:dyDescent="0.35">
      <c r="A173" s="156">
        <v>170</v>
      </c>
      <c r="B173" s="77" t="s">
        <v>1083</v>
      </c>
      <c r="C173" s="19" t="s">
        <v>690</v>
      </c>
      <c r="D173" s="19" t="s">
        <v>1084</v>
      </c>
      <c r="E173" s="19" t="s">
        <v>37</v>
      </c>
      <c r="F173" s="21" t="str">
        <f>HYPERLINK("http://neurobotics.ru/company/company","http://neurobotics.ru/company/company")</f>
        <v>http://neurobotics.ru/company/company</v>
      </c>
      <c r="G173" s="26"/>
      <c r="H173" s="24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8.5" x14ac:dyDescent="0.35">
      <c r="A174" s="19">
        <v>171</v>
      </c>
      <c r="B174" s="77" t="s">
        <v>1085</v>
      </c>
      <c r="C174" s="19" t="s">
        <v>668</v>
      </c>
      <c r="D174" s="19" t="s">
        <v>1086</v>
      </c>
      <c r="E174" s="19" t="s">
        <v>37</v>
      </c>
      <c r="F174" s="21" t="str">
        <f>HYPERLINK("http://www.inlearno.ru/how-it-works","http://www.inlearno.ru/how-it-works")</f>
        <v>http://www.inlearno.ru/how-it-works</v>
      </c>
      <c r="G174" s="26"/>
      <c r="H174" s="24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42.5" x14ac:dyDescent="0.35">
      <c r="A175" s="156">
        <v>172</v>
      </c>
      <c r="B175" s="77" t="s">
        <v>1087</v>
      </c>
      <c r="C175" s="19" t="s">
        <v>700</v>
      </c>
      <c r="D175" s="19" t="s">
        <v>1088</v>
      </c>
      <c r="E175" s="19" t="s">
        <v>37</v>
      </c>
      <c r="F175" s="21" t="str">
        <f>HYPERLINK("http://hivmo.ru/info/1","http://hivmo.ru/info/1")</f>
        <v>http://hivmo.ru/info/1</v>
      </c>
      <c r="G175" s="26"/>
      <c r="H175" s="24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42.5" x14ac:dyDescent="0.35">
      <c r="A176" s="19">
        <v>173</v>
      </c>
      <c r="B176" s="77" t="s">
        <v>1089</v>
      </c>
      <c r="C176" s="19" t="s">
        <v>734</v>
      </c>
      <c r="D176" s="19" t="s">
        <v>1090</v>
      </c>
      <c r="E176" s="19" t="s">
        <v>37</v>
      </c>
      <c r="F176" s="21" t="str">
        <f>HYPERLINK("http://www.artscienceandsport.com/","http://www.artscienceandsport.com/")</f>
        <v>http://www.artscienceandsport.com/</v>
      </c>
      <c r="G176" s="26"/>
      <c r="H176" s="24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8.5" x14ac:dyDescent="0.35">
      <c r="A177" s="156">
        <v>174</v>
      </c>
      <c r="B177" s="77" t="s">
        <v>1091</v>
      </c>
      <c r="C177" s="19" t="s">
        <v>700</v>
      </c>
      <c r="D177" s="19" t="s">
        <v>1092</v>
      </c>
      <c r="E177" s="19" t="s">
        <v>37</v>
      </c>
      <c r="F177" s="21" t="str">
        <f>HYPERLINK("http://endopharm.ru/career","http://endopharm.ru/career")</f>
        <v>http://endopharm.ru/career</v>
      </c>
      <c r="G177" s="21" t="str">
        <f>HYPERLINK("https://hh.ru/employer/1160155","https://hh.ru/employer/1160155")</f>
        <v>https://hh.ru/employer/1160155</v>
      </c>
      <c r="H177" s="24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8.5" x14ac:dyDescent="0.35">
      <c r="A178" s="19">
        <v>175</v>
      </c>
      <c r="B178" s="77" t="s">
        <v>1093</v>
      </c>
      <c r="C178" s="19" t="s">
        <v>700</v>
      </c>
      <c r="D178" s="19" t="s">
        <v>1094</v>
      </c>
      <c r="E178" s="19" t="s">
        <v>37</v>
      </c>
      <c r="F178" s="21" t="str">
        <f>HYPERLINK("http://www.nrcki.ru/","http://www.nrcki.ru/")</f>
        <v>http://www.nrcki.ru/</v>
      </c>
      <c r="G178" s="21" t="str">
        <f>HYPERLINK("https://hh.ru/employer/6237","https://hh.ru/employer/6237")</f>
        <v>https://hh.ru/employer/6237</v>
      </c>
      <c r="H178" s="24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42.5" x14ac:dyDescent="0.35">
      <c r="A179" s="156">
        <v>176</v>
      </c>
      <c r="B179" s="77" t="s">
        <v>1095</v>
      </c>
      <c r="C179" s="19" t="s">
        <v>700</v>
      </c>
      <c r="D179" s="19" t="s">
        <v>1096</v>
      </c>
      <c r="E179" s="19" t="s">
        <v>37</v>
      </c>
      <c r="F179" s="21" t="str">
        <f>HYPERLINK("http://mgppu.ru/nav/structure/11","http://mgppu.ru/nav/structure/11")</f>
        <v>http://mgppu.ru/nav/structure/11</v>
      </c>
      <c r="G179" s="26"/>
      <c r="H179" s="24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42.5" x14ac:dyDescent="0.35">
      <c r="A180" s="19">
        <v>177</v>
      </c>
      <c r="B180" s="19" t="s">
        <v>1097</v>
      </c>
      <c r="C180" s="19" t="s">
        <v>668</v>
      </c>
      <c r="D180" s="19" t="s">
        <v>1465</v>
      </c>
      <c r="E180" s="19" t="s">
        <v>37</v>
      </c>
      <c r="F180" s="21" t="str">
        <f>HYPERLINK("https://mipt.ru/about/departments/ck/vacancy/","https://mipt.ru/about/departments/ck/vacancy/")</f>
        <v>https://mipt.ru/about/departments/ck/vacancy/</v>
      </c>
      <c r="G180" s="21" t="str">
        <f>HYPERLINK("https://hh.ru/employer/1008541","https://hh.ru/employer/1008541")</f>
        <v>https://hh.ru/employer/1008541</v>
      </c>
      <c r="H180" s="24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8.5" x14ac:dyDescent="0.35">
      <c r="A181" s="156">
        <v>178</v>
      </c>
      <c r="B181" s="78" t="s">
        <v>1098</v>
      </c>
      <c r="C181" s="19" t="s">
        <v>690</v>
      </c>
      <c r="D181" s="19" t="s">
        <v>1099</v>
      </c>
      <c r="E181" s="19" t="s">
        <v>37</v>
      </c>
      <c r="F181" s="21" t="str">
        <f>HYPERLINK("http://sk.ru/net/1120206/","http://sk.ru/net/1120206/")</f>
        <v>http://sk.ru/net/1120206/</v>
      </c>
      <c r="G181" s="21" t="str">
        <f>HYPERLINK("https://hh.ru/employer/906557","https://hh.ru/employer/906557")</f>
        <v>https://hh.ru/employer/906557</v>
      </c>
      <c r="H181" s="24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42.5" x14ac:dyDescent="0.35">
      <c r="A182" s="19">
        <v>179</v>
      </c>
      <c r="B182" s="19" t="s">
        <v>1100</v>
      </c>
      <c r="C182" s="19" t="s">
        <v>734</v>
      </c>
      <c r="D182" s="19" t="s">
        <v>1101</v>
      </c>
      <c r="E182" s="19" t="s">
        <v>37</v>
      </c>
      <c r="F182" s="31" t="s">
        <v>1102</v>
      </c>
      <c r="G182" s="26"/>
      <c r="H182" s="24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56.5" x14ac:dyDescent="0.35">
      <c r="A183" s="156">
        <v>180</v>
      </c>
      <c r="B183" s="19" t="s">
        <v>1103</v>
      </c>
      <c r="C183" s="19" t="s">
        <v>734</v>
      </c>
      <c r="D183" s="19" t="s">
        <v>1104</v>
      </c>
      <c r="E183" s="19" t="s">
        <v>37</v>
      </c>
      <c r="F183" s="31" t="s">
        <v>1105</v>
      </c>
      <c r="G183" s="31" t="s">
        <v>1106</v>
      </c>
      <c r="H183" s="24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8.5" x14ac:dyDescent="0.35">
      <c r="A184" s="19">
        <v>181</v>
      </c>
      <c r="B184" s="89" t="s">
        <v>1109</v>
      </c>
      <c r="C184" s="19" t="s">
        <v>1110</v>
      </c>
      <c r="D184" s="19" t="s">
        <v>1111</v>
      </c>
      <c r="E184" s="19" t="s">
        <v>37</v>
      </c>
      <c r="F184" s="35" t="s">
        <v>1112</v>
      </c>
      <c r="G184" s="31" t="s">
        <v>1113</v>
      </c>
      <c r="H184" s="24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42.5" x14ac:dyDescent="0.35">
      <c r="A185" s="156">
        <v>182</v>
      </c>
      <c r="B185" s="89" t="s">
        <v>1116</v>
      </c>
      <c r="C185" s="19" t="s">
        <v>690</v>
      </c>
      <c r="D185" s="19" t="s">
        <v>1117</v>
      </c>
      <c r="E185" s="19" t="s">
        <v>37</v>
      </c>
      <c r="F185" s="35" t="s">
        <v>1118</v>
      </c>
      <c r="G185" s="31" t="s">
        <v>1119</v>
      </c>
      <c r="H185" s="24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8.5" x14ac:dyDescent="0.35">
      <c r="A186" s="19">
        <v>183</v>
      </c>
      <c r="B186" s="89" t="s">
        <v>1120</v>
      </c>
      <c r="C186" s="19" t="s">
        <v>690</v>
      </c>
      <c r="D186" s="19" t="s">
        <v>1122</v>
      </c>
      <c r="E186" s="19" t="s">
        <v>37</v>
      </c>
      <c r="F186" s="35" t="s">
        <v>1123</v>
      </c>
      <c r="G186" s="31" t="s">
        <v>1124</v>
      </c>
      <c r="H186" s="24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56.5" x14ac:dyDescent="0.35">
      <c r="A187" s="156">
        <v>184</v>
      </c>
      <c r="B187" s="77" t="s">
        <v>1125</v>
      </c>
      <c r="C187" s="19" t="s">
        <v>690</v>
      </c>
      <c r="D187" s="19" t="s">
        <v>1126</v>
      </c>
      <c r="E187" s="19" t="s">
        <v>37</v>
      </c>
      <c r="F187" s="31" t="s">
        <v>1127</v>
      </c>
      <c r="G187" s="26"/>
      <c r="H187" s="24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8.5" x14ac:dyDescent="0.35">
      <c r="A188" s="19">
        <v>185</v>
      </c>
      <c r="B188" s="89" t="s">
        <v>1129</v>
      </c>
      <c r="C188" s="19" t="s">
        <v>668</v>
      </c>
      <c r="D188" s="19" t="s">
        <v>1130</v>
      </c>
      <c r="E188" s="19" t="s">
        <v>37</v>
      </c>
      <c r="F188" s="35" t="s">
        <v>1131</v>
      </c>
      <c r="G188" s="41"/>
      <c r="H188" s="24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42.5" x14ac:dyDescent="0.35">
      <c r="A189" s="156">
        <v>186</v>
      </c>
      <c r="B189" s="89" t="s">
        <v>1132</v>
      </c>
      <c r="C189" s="19" t="s">
        <v>734</v>
      </c>
      <c r="D189" s="19" t="s">
        <v>1133</v>
      </c>
      <c r="E189" s="19" t="s">
        <v>37</v>
      </c>
      <c r="F189" s="35" t="s">
        <v>1135</v>
      </c>
      <c r="G189" s="41"/>
      <c r="H189" s="24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8.5" x14ac:dyDescent="0.35">
      <c r="A190" s="19">
        <v>187</v>
      </c>
      <c r="B190" s="77" t="s">
        <v>1137</v>
      </c>
      <c r="C190" s="19" t="s">
        <v>690</v>
      </c>
      <c r="D190" s="19" t="s">
        <v>1138</v>
      </c>
      <c r="E190" s="19" t="s">
        <v>37</v>
      </c>
      <c r="F190" s="35" t="s">
        <v>1140</v>
      </c>
      <c r="G190" s="31" t="s">
        <v>1141</v>
      </c>
      <c r="H190" s="24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42.5" x14ac:dyDescent="0.35">
      <c r="A191" s="156">
        <v>188</v>
      </c>
      <c r="B191" s="89" t="s">
        <v>1142</v>
      </c>
      <c r="C191" s="19" t="s">
        <v>690</v>
      </c>
      <c r="D191" s="19" t="s">
        <v>1145</v>
      </c>
      <c r="E191" s="19" t="s">
        <v>37</v>
      </c>
      <c r="F191" s="35" t="s">
        <v>1146</v>
      </c>
      <c r="G191" s="31" t="s">
        <v>1147</v>
      </c>
      <c r="H191" s="24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42.5" x14ac:dyDescent="0.35">
      <c r="A192" s="19">
        <v>189</v>
      </c>
      <c r="B192" s="89" t="s">
        <v>1148</v>
      </c>
      <c r="C192" s="19" t="s">
        <v>734</v>
      </c>
      <c r="D192" s="19" t="s">
        <v>1150</v>
      </c>
      <c r="E192" s="19" t="s">
        <v>37</v>
      </c>
      <c r="F192" s="35" t="s">
        <v>1151</v>
      </c>
      <c r="G192" s="31" t="s">
        <v>1152</v>
      </c>
      <c r="H192" s="24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42.5" x14ac:dyDescent="0.35">
      <c r="A193" s="156">
        <v>190</v>
      </c>
      <c r="B193" s="89" t="s">
        <v>1153</v>
      </c>
      <c r="C193" s="19" t="s">
        <v>734</v>
      </c>
      <c r="D193" s="19" t="s">
        <v>1154</v>
      </c>
      <c r="E193" s="19" t="s">
        <v>37</v>
      </c>
      <c r="F193" s="35" t="s">
        <v>1155</v>
      </c>
      <c r="G193" s="31" t="s">
        <v>1156</v>
      </c>
      <c r="H193" s="24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8.5" x14ac:dyDescent="0.35">
      <c r="A194" s="19">
        <v>191</v>
      </c>
      <c r="B194" s="89" t="s">
        <v>1157</v>
      </c>
      <c r="C194" s="19" t="s">
        <v>690</v>
      </c>
      <c r="D194" s="19" t="s">
        <v>1158</v>
      </c>
      <c r="E194" s="19" t="s">
        <v>37</v>
      </c>
      <c r="F194" s="35" t="s">
        <v>1159</v>
      </c>
      <c r="G194" s="26"/>
      <c r="H194" s="24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42.5" x14ac:dyDescent="0.35">
      <c r="A195" s="156">
        <v>192</v>
      </c>
      <c r="B195" s="89" t="s">
        <v>1160</v>
      </c>
      <c r="C195" s="19" t="s">
        <v>690</v>
      </c>
      <c r="D195" s="19" t="s">
        <v>1161</v>
      </c>
      <c r="E195" s="19" t="s">
        <v>37</v>
      </c>
      <c r="F195" s="35" t="s">
        <v>1162</v>
      </c>
      <c r="G195" s="26"/>
      <c r="H195" s="24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8.5" x14ac:dyDescent="0.35">
      <c r="A196" s="19">
        <v>193</v>
      </c>
      <c r="B196" s="89" t="s">
        <v>1163</v>
      </c>
      <c r="C196" s="19" t="s">
        <v>690</v>
      </c>
      <c r="D196" s="19" t="s">
        <v>1164</v>
      </c>
      <c r="E196" s="19" t="s">
        <v>37</v>
      </c>
      <c r="F196" s="35" t="s">
        <v>1165</v>
      </c>
      <c r="G196" s="35" t="s">
        <v>1166</v>
      </c>
      <c r="H196" s="24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8.5" x14ac:dyDescent="0.35">
      <c r="A197" s="156">
        <v>194</v>
      </c>
      <c r="B197" s="89" t="s">
        <v>1167</v>
      </c>
      <c r="C197" s="19" t="s">
        <v>690</v>
      </c>
      <c r="D197" s="19" t="s">
        <v>1168</v>
      </c>
      <c r="E197" s="19" t="s">
        <v>37</v>
      </c>
      <c r="F197" s="41"/>
      <c r="G197" s="26"/>
      <c r="H197" s="24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42.5" x14ac:dyDescent="0.35">
      <c r="A198" s="19">
        <v>195</v>
      </c>
      <c r="B198" s="77" t="s">
        <v>1169</v>
      </c>
      <c r="C198" s="19" t="s">
        <v>668</v>
      </c>
      <c r="D198" s="19" t="s">
        <v>1170</v>
      </c>
      <c r="E198" s="19" t="s">
        <v>37</v>
      </c>
      <c r="F198" s="35" t="s">
        <v>1171</v>
      </c>
      <c r="G198" s="31" t="s">
        <v>1172</v>
      </c>
      <c r="H198" s="24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8.5" x14ac:dyDescent="0.35">
      <c r="A199" s="156">
        <v>196</v>
      </c>
      <c r="B199" s="89" t="s">
        <v>1173</v>
      </c>
      <c r="C199" s="19" t="s">
        <v>690</v>
      </c>
      <c r="D199" s="19" t="s">
        <v>1175</v>
      </c>
      <c r="E199" s="19" t="s">
        <v>37</v>
      </c>
      <c r="F199" s="35" t="s">
        <v>1177</v>
      </c>
      <c r="G199" s="26"/>
      <c r="H199" s="24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8.5" x14ac:dyDescent="0.35">
      <c r="A200" s="19">
        <v>197</v>
      </c>
      <c r="B200" s="89" t="s">
        <v>1178</v>
      </c>
      <c r="C200" s="19" t="s">
        <v>690</v>
      </c>
      <c r="D200" s="19" t="s">
        <v>1179</v>
      </c>
      <c r="E200" s="19" t="s">
        <v>37</v>
      </c>
      <c r="F200" s="35" t="s">
        <v>1180</v>
      </c>
      <c r="G200" s="31" t="s">
        <v>1181</v>
      </c>
      <c r="H200" s="24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8.5" x14ac:dyDescent="0.35">
      <c r="A201" s="156">
        <v>198</v>
      </c>
      <c r="B201" s="89" t="s">
        <v>1182</v>
      </c>
      <c r="C201" s="19" t="s">
        <v>690</v>
      </c>
      <c r="D201" s="19" t="s">
        <v>1184</v>
      </c>
      <c r="E201" s="19" t="s">
        <v>37</v>
      </c>
      <c r="F201" s="35" t="s">
        <v>1185</v>
      </c>
      <c r="G201" s="31" t="s">
        <v>1186</v>
      </c>
      <c r="H201" s="24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42.5" x14ac:dyDescent="0.35">
      <c r="A202" s="19">
        <v>199</v>
      </c>
      <c r="B202" s="96" t="s">
        <v>1187</v>
      </c>
      <c r="C202" s="64" t="s">
        <v>690</v>
      </c>
      <c r="D202" s="64" t="s">
        <v>1188</v>
      </c>
      <c r="E202" s="64" t="s">
        <v>37</v>
      </c>
      <c r="F202" s="122" t="s">
        <v>1189</v>
      </c>
      <c r="G202" s="111" t="s">
        <v>1190</v>
      </c>
      <c r="H202" s="24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s="108" customFormat="1" ht="42.5" x14ac:dyDescent="0.35">
      <c r="A203" s="156">
        <v>200</v>
      </c>
      <c r="B203" s="115" t="s">
        <v>1520</v>
      </c>
      <c r="C203" s="148" t="s">
        <v>692</v>
      </c>
      <c r="D203" s="115" t="s">
        <v>1521</v>
      </c>
      <c r="E203" s="115" t="s">
        <v>37</v>
      </c>
      <c r="F203" s="116" t="s">
        <v>1522</v>
      </c>
      <c r="G203" s="116" t="s">
        <v>1523</v>
      </c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s="108" customFormat="1" ht="29" x14ac:dyDescent="0.35">
      <c r="A204" s="19">
        <v>201</v>
      </c>
      <c r="B204" s="115" t="s">
        <v>1524</v>
      </c>
      <c r="C204" s="148" t="s">
        <v>690</v>
      </c>
      <c r="D204" s="115" t="s">
        <v>1525</v>
      </c>
      <c r="E204" s="115" t="s">
        <v>37</v>
      </c>
      <c r="F204" s="116" t="s">
        <v>1526</v>
      </c>
      <c r="G204" s="116" t="s">
        <v>1527</v>
      </c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s="108" customFormat="1" ht="29" x14ac:dyDescent="0.35">
      <c r="A205" s="156">
        <v>202</v>
      </c>
      <c r="B205" s="115" t="s">
        <v>1528</v>
      </c>
      <c r="C205" s="148" t="s">
        <v>668</v>
      </c>
      <c r="D205" s="115" t="s">
        <v>1529</v>
      </c>
      <c r="E205" s="115" t="s">
        <v>37</v>
      </c>
      <c r="F205" s="116" t="s">
        <v>1530</v>
      </c>
      <c r="G205" s="116" t="s">
        <v>1531</v>
      </c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s="108" customFormat="1" ht="42.5" x14ac:dyDescent="0.35">
      <c r="A206" s="19">
        <v>203</v>
      </c>
      <c r="B206" s="115" t="s">
        <v>1532</v>
      </c>
      <c r="C206" s="148" t="s">
        <v>700</v>
      </c>
      <c r="D206" s="115" t="s">
        <v>1533</v>
      </c>
      <c r="E206" s="115" t="s">
        <v>37</v>
      </c>
      <c r="F206" s="116" t="s">
        <v>1534</v>
      </c>
      <c r="G206" s="117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s="108" customFormat="1" ht="29" x14ac:dyDescent="0.35">
      <c r="A207" s="156">
        <v>204</v>
      </c>
      <c r="B207" s="115" t="s">
        <v>1535</v>
      </c>
      <c r="C207" s="148" t="s">
        <v>690</v>
      </c>
      <c r="D207" s="115" t="s">
        <v>1536</v>
      </c>
      <c r="E207" s="115" t="s">
        <v>37</v>
      </c>
      <c r="F207" s="116" t="s">
        <v>1537</v>
      </c>
      <c r="G207" s="116" t="s">
        <v>1538</v>
      </c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s="108" customFormat="1" ht="29" x14ac:dyDescent="0.35">
      <c r="A208" s="19">
        <v>205</v>
      </c>
      <c r="B208" s="115" t="s">
        <v>1539</v>
      </c>
      <c r="C208" s="148" t="s">
        <v>690</v>
      </c>
      <c r="D208" s="115" t="s">
        <v>1540</v>
      </c>
      <c r="E208" s="115" t="s">
        <v>37</v>
      </c>
      <c r="F208" s="116" t="s">
        <v>1541</v>
      </c>
      <c r="G208" s="116" t="s">
        <v>1542</v>
      </c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s="108" customFormat="1" ht="72.5" x14ac:dyDescent="0.35">
      <c r="A209" s="156">
        <v>206</v>
      </c>
      <c r="B209" s="115" t="s">
        <v>1543</v>
      </c>
      <c r="C209" s="148" t="s">
        <v>668</v>
      </c>
      <c r="D209" s="115" t="s">
        <v>1544</v>
      </c>
      <c r="E209" s="115" t="s">
        <v>37</v>
      </c>
      <c r="F209" s="116" t="s">
        <v>1545</v>
      </c>
      <c r="G209" s="117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s="108" customFormat="1" ht="29" x14ac:dyDescent="0.35">
      <c r="A210" s="19">
        <v>207</v>
      </c>
      <c r="B210" s="115" t="s">
        <v>1546</v>
      </c>
      <c r="C210" s="148" t="s">
        <v>690</v>
      </c>
      <c r="D210" s="115" t="s">
        <v>1547</v>
      </c>
      <c r="E210" s="115" t="s">
        <v>37</v>
      </c>
      <c r="F210" s="116" t="s">
        <v>1548</v>
      </c>
      <c r="G210" s="117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s="108" customFormat="1" ht="29" x14ac:dyDescent="0.35">
      <c r="A211" s="156">
        <v>208</v>
      </c>
      <c r="B211" s="115" t="s">
        <v>1549</v>
      </c>
      <c r="C211" s="148" t="s">
        <v>690</v>
      </c>
      <c r="D211" s="115" t="s">
        <v>1550</v>
      </c>
      <c r="E211" s="115" t="s">
        <v>37</v>
      </c>
      <c r="F211" s="116" t="s">
        <v>1551</v>
      </c>
      <c r="G211" s="116" t="s">
        <v>1552</v>
      </c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s="108" customFormat="1" ht="29" x14ac:dyDescent="0.35">
      <c r="A212" s="19">
        <v>209</v>
      </c>
      <c r="B212" s="115" t="s">
        <v>1553</v>
      </c>
      <c r="C212" s="148" t="s">
        <v>690</v>
      </c>
      <c r="D212" s="115" t="s">
        <v>1554</v>
      </c>
      <c r="E212" s="115" t="s">
        <v>37</v>
      </c>
      <c r="F212" s="116" t="s">
        <v>1555</v>
      </c>
      <c r="G212" s="117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s="108" customFormat="1" ht="56.5" x14ac:dyDescent="0.35">
      <c r="A213" s="156">
        <v>210</v>
      </c>
      <c r="B213" s="115" t="s">
        <v>1556</v>
      </c>
      <c r="C213" s="148" t="s">
        <v>668</v>
      </c>
      <c r="D213" s="115" t="s">
        <v>1557</v>
      </c>
      <c r="E213" s="115" t="s">
        <v>37</v>
      </c>
      <c r="F213" s="116" t="s">
        <v>1558</v>
      </c>
      <c r="G213" s="117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s="108" customFormat="1" ht="42.5" x14ac:dyDescent="0.35">
      <c r="A214" s="19">
        <v>211</v>
      </c>
      <c r="B214" s="118" t="s">
        <v>1559</v>
      </c>
      <c r="C214" s="148" t="s">
        <v>734</v>
      </c>
      <c r="D214" s="118" t="s">
        <v>1560</v>
      </c>
      <c r="E214" s="115" t="s">
        <v>37</v>
      </c>
      <c r="F214" s="116" t="s">
        <v>1561</v>
      </c>
      <c r="G214" s="117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s="108" customFormat="1" ht="42.5" x14ac:dyDescent="0.35">
      <c r="A215" s="156">
        <v>212</v>
      </c>
      <c r="B215" s="118" t="s">
        <v>1562</v>
      </c>
      <c r="C215" s="148" t="s">
        <v>734</v>
      </c>
      <c r="D215" s="118" t="s">
        <v>1563</v>
      </c>
      <c r="E215" s="115" t="s">
        <v>37</v>
      </c>
      <c r="F215" s="116" t="s">
        <v>1564</v>
      </c>
      <c r="G215" s="117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s="108" customFormat="1" ht="42.5" x14ac:dyDescent="0.35">
      <c r="A216" s="19">
        <v>213</v>
      </c>
      <c r="B216" s="118" t="s">
        <v>1565</v>
      </c>
      <c r="C216" s="148" t="s">
        <v>734</v>
      </c>
      <c r="D216" s="118" t="s">
        <v>1566</v>
      </c>
      <c r="E216" s="115" t="s">
        <v>37</v>
      </c>
      <c r="F216" s="116" t="s">
        <v>1567</v>
      </c>
      <c r="G216" s="117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s="108" customFormat="1" ht="42.5" x14ac:dyDescent="0.35">
      <c r="A217" s="156">
        <v>214</v>
      </c>
      <c r="B217" s="118" t="s">
        <v>1568</v>
      </c>
      <c r="C217" s="148" t="s">
        <v>734</v>
      </c>
      <c r="D217" s="118" t="s">
        <v>1569</v>
      </c>
      <c r="E217" s="115" t="s">
        <v>37</v>
      </c>
      <c r="F217" s="116" t="s">
        <v>1570</v>
      </c>
      <c r="G217" s="117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s="108" customFormat="1" ht="42.5" x14ac:dyDescent="0.35">
      <c r="A218" s="19">
        <v>215</v>
      </c>
      <c r="B218" s="115" t="s">
        <v>1571</v>
      </c>
      <c r="C218" s="148" t="s">
        <v>734</v>
      </c>
      <c r="D218" s="118" t="s">
        <v>1572</v>
      </c>
      <c r="E218" s="115" t="s">
        <v>37</v>
      </c>
      <c r="F218" s="116" t="s">
        <v>1573</v>
      </c>
      <c r="G218" s="117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s="108" customFormat="1" ht="56.5" x14ac:dyDescent="0.35">
      <c r="A219" s="156">
        <v>216</v>
      </c>
      <c r="B219" s="115" t="s">
        <v>1574</v>
      </c>
      <c r="C219" s="148" t="s">
        <v>734</v>
      </c>
      <c r="D219" s="115" t="s">
        <v>1575</v>
      </c>
      <c r="E219" s="115" t="s">
        <v>37</v>
      </c>
      <c r="F219" s="116" t="s">
        <v>1576</v>
      </c>
      <c r="G219" s="117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s="108" customFormat="1" ht="42.5" x14ac:dyDescent="0.35">
      <c r="A220" s="19">
        <v>217</v>
      </c>
      <c r="B220" s="115" t="s">
        <v>1577</v>
      </c>
      <c r="C220" s="148" t="s">
        <v>734</v>
      </c>
      <c r="D220" s="115" t="s">
        <v>1578</v>
      </c>
      <c r="E220" s="115" t="s">
        <v>37</v>
      </c>
      <c r="F220" s="116" t="s">
        <v>1579</v>
      </c>
      <c r="G220" s="117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s="108" customFormat="1" ht="42.5" x14ac:dyDescent="0.35">
      <c r="A221" s="156">
        <v>218</v>
      </c>
      <c r="B221" s="115" t="s">
        <v>1580</v>
      </c>
      <c r="C221" s="148" t="s">
        <v>734</v>
      </c>
      <c r="D221" s="115" t="s">
        <v>1581</v>
      </c>
      <c r="E221" s="115" t="s">
        <v>37</v>
      </c>
      <c r="F221" s="116" t="s">
        <v>1582</v>
      </c>
      <c r="G221" s="117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s="108" customFormat="1" ht="29" x14ac:dyDescent="0.35">
      <c r="A222" s="19">
        <v>219</v>
      </c>
      <c r="B222" s="115" t="s">
        <v>1583</v>
      </c>
      <c r="C222" s="148" t="s">
        <v>690</v>
      </c>
      <c r="D222" s="115" t="s">
        <v>1584</v>
      </c>
      <c r="E222" s="115" t="s">
        <v>37</v>
      </c>
      <c r="F222" s="116" t="s">
        <v>1585</v>
      </c>
      <c r="G222" s="116" t="s">
        <v>1586</v>
      </c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s="108" customFormat="1" ht="42.5" x14ac:dyDescent="0.35">
      <c r="A223" s="156">
        <v>220</v>
      </c>
      <c r="B223" s="115" t="s">
        <v>1656</v>
      </c>
      <c r="C223" s="148" t="s">
        <v>1587</v>
      </c>
      <c r="D223" s="115" t="s">
        <v>1588</v>
      </c>
      <c r="E223" s="115" t="s">
        <v>37</v>
      </c>
      <c r="F223" s="116" t="s">
        <v>1589</v>
      </c>
      <c r="G223" s="117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42.5" x14ac:dyDescent="0.35">
      <c r="A224" s="19">
        <v>221</v>
      </c>
      <c r="B224" s="19" t="s">
        <v>1191</v>
      </c>
      <c r="C224" s="159" t="s">
        <v>668</v>
      </c>
      <c r="D224" s="19" t="s">
        <v>1464</v>
      </c>
      <c r="E224" s="19" t="s">
        <v>145</v>
      </c>
      <c r="F224" s="21" t="str">
        <f>HYPERLINK("http://ispu.ru/taxonomy/term/1012","http://ispu.ru/taxonomy/term/1012")</f>
        <v>http://ispu.ru/taxonomy/term/1012</v>
      </c>
      <c r="G224" s="43"/>
      <c r="H224" s="24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98.5" x14ac:dyDescent="0.35">
      <c r="A225" s="156">
        <v>222</v>
      </c>
      <c r="B225" s="19" t="s">
        <v>1192</v>
      </c>
      <c r="C225" s="159" t="s">
        <v>668</v>
      </c>
      <c r="D225" s="19" t="s">
        <v>1193</v>
      </c>
      <c r="E225" s="19" t="s">
        <v>145</v>
      </c>
      <c r="F225" s="21" t="str">
        <f>HYPERLINK("http://www.isma.ivanovo.ru/search?search=%D0%B2%D0%B0%D0%BA%D0%B0%D0%BD%D1%81%D0%B8%D0%B8&amp;utf8=%E2%9C%93","http://www.isma.ivanovo.ru/search?search=%D0%B2%D0%B0%D0%BA%D0%B0%D0%BD%D1%81%D0%B8%D0%B8&amp;utf8=%E2%9C%93")</f>
        <v>http://www.isma.ivanovo.ru/search?search=%D0%B2%D0%B0%D0%BA%D0%B0%D0%BD%D1%81%D0%B8%D0%B8&amp;utf8=%E2%9C%93</v>
      </c>
      <c r="G225" s="43"/>
      <c r="H225" s="24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8.5" x14ac:dyDescent="0.35">
      <c r="A226" s="19">
        <v>223</v>
      </c>
      <c r="B226" s="19" t="s">
        <v>328</v>
      </c>
      <c r="C226" s="159" t="s">
        <v>690</v>
      </c>
      <c r="D226" s="19" t="s">
        <v>288</v>
      </c>
      <c r="E226" s="19" t="s">
        <v>145</v>
      </c>
      <c r="F226" s="21" t="str">
        <f>HYPERLINK("http://www.izts.ru/vacancies/","http://www.izts.ru/vacancies/")</f>
        <v>http://www.izts.ru/vacancies/</v>
      </c>
      <c r="G226" s="21" t="str">
        <f>HYPERLINK("https://hh.ru/employer/2237939","https://hh.ru/employer/2237939")</f>
        <v>https://hh.ru/employer/2237939</v>
      </c>
      <c r="H226" s="24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70.5" x14ac:dyDescent="0.35">
      <c r="A227" s="156">
        <v>224</v>
      </c>
      <c r="B227" s="19" t="s">
        <v>329</v>
      </c>
      <c r="C227" s="159" t="s">
        <v>668</v>
      </c>
      <c r="D227" s="19" t="s">
        <v>287</v>
      </c>
      <c r="E227" s="19" t="s">
        <v>145</v>
      </c>
      <c r="F227" s="21" t="str">
        <f>HYPERLINK("http://edufire37.ru/about/contacts.php","http://edufire37.ru/about/contacts.php")</f>
        <v>http://edufire37.ru/about/contacts.php</v>
      </c>
      <c r="G227" s="43"/>
      <c r="H227" s="24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42.5" x14ac:dyDescent="0.35">
      <c r="A228" s="19">
        <v>225</v>
      </c>
      <c r="B228" s="64" t="s">
        <v>1195</v>
      </c>
      <c r="C228" s="159" t="s">
        <v>668</v>
      </c>
      <c r="D228" s="19" t="s">
        <v>1196</v>
      </c>
      <c r="E228" s="19" t="s">
        <v>145</v>
      </c>
      <c r="F228" s="21" t="str">
        <f>HYPERLINK("http://ivanovo.ac.ru/for-graduate/vacancy","http://ivanovo.ac.ru/for-graduate/vacancy")</f>
        <v>http://ivanovo.ac.ru/for-graduate/vacancy</v>
      </c>
      <c r="G228" s="43"/>
      <c r="H228" s="24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42.5" x14ac:dyDescent="0.35">
      <c r="A229" s="156">
        <v>226</v>
      </c>
      <c r="B229" s="19" t="s">
        <v>1198</v>
      </c>
      <c r="C229" s="159" t="s">
        <v>668</v>
      </c>
      <c r="D229" s="19" t="s">
        <v>1199</v>
      </c>
      <c r="E229" s="19" t="s">
        <v>145</v>
      </c>
      <c r="F229" s="21" t="str">
        <f>HYPERLINK("http://www.isuct.ru/contact","http://www.isuct.ru/contact")</f>
        <v>http://www.isuct.ru/contact</v>
      </c>
      <c r="G229" s="21" t="str">
        <f>HYPERLINK("https://spb.hh.ru/employer/771929","https://spb.hh.ru/employer/771929")</f>
        <v>https://spb.hh.ru/employer/771929</v>
      </c>
      <c r="H229" s="79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8.5" x14ac:dyDescent="0.35">
      <c r="A230" s="19">
        <v>227</v>
      </c>
      <c r="B230" s="19" t="s">
        <v>1201</v>
      </c>
      <c r="C230" s="159" t="s">
        <v>690</v>
      </c>
      <c r="D230" s="19" t="s">
        <v>1203</v>
      </c>
      <c r="E230" s="19" t="s">
        <v>1204</v>
      </c>
      <c r="F230" s="21" t="str">
        <f>HYPERLINK("http://www.vwgroup.ru/career/","http://www.vwgroup.ru/career/")</f>
        <v>http://www.vwgroup.ru/career/</v>
      </c>
      <c r="G230" s="21" t="str">
        <f>HYPERLINK("https://hh.ru/employer/25763#vacancy-list","https://hh.ru/employer/25763#vacancy-list")</f>
        <v>https://hh.ru/employer/25763#vacancy-list</v>
      </c>
      <c r="H230" s="79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8.5" x14ac:dyDescent="0.35">
      <c r="A231" s="156">
        <v>228</v>
      </c>
      <c r="B231" s="34" t="s">
        <v>1205</v>
      </c>
      <c r="C231" s="159" t="s">
        <v>690</v>
      </c>
      <c r="D231" s="19" t="s">
        <v>1206</v>
      </c>
      <c r="E231" s="19" t="s">
        <v>1204</v>
      </c>
      <c r="F231" s="21" t="str">
        <f>HYPERLINK("http://www.rempm.ru/contacts/","http://www.rempm.ru/contacts/")</f>
        <v>http://www.rempm.ru/contacts/</v>
      </c>
      <c r="G231" s="21" t="str">
        <f>HYPERLINK("https://hh.ru/employer/604597","https://hh.ru/employer/604597")</f>
        <v>https://hh.ru/employer/604597</v>
      </c>
      <c r="H231" s="79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42.5" x14ac:dyDescent="0.35">
      <c r="A232" s="19">
        <v>229</v>
      </c>
      <c r="B232" s="34" t="s">
        <v>1207</v>
      </c>
      <c r="C232" s="159" t="s">
        <v>690</v>
      </c>
      <c r="D232" s="19" t="s">
        <v>1203</v>
      </c>
      <c r="E232" s="19" t="s">
        <v>1204</v>
      </c>
      <c r="F232" s="21" t="str">
        <f>HYPERLINK("http://sgk.severstal.com/rus/careers/index.phtml","http://sgk.severstal.com/rus/careers/index.phtml")</f>
        <v>http://sgk.severstal.com/rus/careers/index.phtml</v>
      </c>
      <c r="G232" s="21" t="str">
        <f>HYPERLINK("https://hh.ru/employer/587721","https://hh.ru/employer/587721")</f>
        <v>https://hh.ru/employer/587721</v>
      </c>
      <c r="H232" s="79"/>
      <c r="I232" s="80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42" x14ac:dyDescent="0.35">
      <c r="A233" s="156">
        <v>230</v>
      </c>
      <c r="B233" s="34" t="s">
        <v>1208</v>
      </c>
      <c r="C233" s="159" t="s">
        <v>668</v>
      </c>
      <c r="D233" s="19" t="s">
        <v>1209</v>
      </c>
      <c r="E233" s="19" t="s">
        <v>1204</v>
      </c>
      <c r="F233" s="21" t="str">
        <f>HYPERLINK("http://tksu.ru/contacts/Forms/AllItems.aspx","http://tksu.ru/contacts/Forms/AllItems.aspx")</f>
        <v>http://tksu.ru/contacts/Forms/AllItems.aspx</v>
      </c>
      <c r="G233" s="43"/>
      <c r="H233" s="24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42.5" x14ac:dyDescent="0.35">
      <c r="A234" s="19">
        <v>231</v>
      </c>
      <c r="B234" s="34" t="s">
        <v>1210</v>
      </c>
      <c r="C234" s="159" t="s">
        <v>690</v>
      </c>
      <c r="D234" s="19" t="s">
        <v>1211</v>
      </c>
      <c r="E234" s="19" t="s">
        <v>1204</v>
      </c>
      <c r="F234" s="21" t="str">
        <f>HYPERLINK("https://technologiya.ru/vacancy/vac.aspx?lang=rus","https://technologiya.ru/vacancy/vac.aspx?lang=rus")</f>
        <v>https://technologiya.ru/vacancy/vac.aspx?lang=rus</v>
      </c>
      <c r="G234" s="21" t="str">
        <f>HYPERLINK("https://hh.ru/employer/1188248","https://hh.ru/employer/1188248")</f>
        <v>https://hh.ru/employer/1188248</v>
      </c>
      <c r="H234" s="24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8.5" x14ac:dyDescent="0.35">
      <c r="A235" s="156">
        <v>232</v>
      </c>
      <c r="B235" s="19" t="s">
        <v>1212</v>
      </c>
      <c r="C235" s="159" t="s">
        <v>690</v>
      </c>
      <c r="D235" s="19" t="s">
        <v>1213</v>
      </c>
      <c r="E235" s="19" t="s">
        <v>1204</v>
      </c>
      <c r="F235" s="21" t="str">
        <f>HYPERLINK("http://www.pspcom.ru/vacancy/","http://www.pspcom.ru/vacancy/")</f>
        <v>http://www.pspcom.ru/vacancy/</v>
      </c>
      <c r="G235" s="26"/>
      <c r="H235" s="24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56.5" x14ac:dyDescent="0.35">
      <c r="A236" s="19">
        <v>233</v>
      </c>
      <c r="B236" s="19" t="s">
        <v>379</v>
      </c>
      <c r="C236" s="159" t="s">
        <v>690</v>
      </c>
      <c r="D236" s="19" t="s">
        <v>380</v>
      </c>
      <c r="E236" s="19" t="s">
        <v>381</v>
      </c>
      <c r="F236" s="21" t="str">
        <f>HYPERLINK("http://r-pharm.com/ru/section/production/kostromskaya-oblast/","http://r-pharm.com/ru/section/production/kostromskaya-oblast/")</f>
        <v>http://r-pharm.com/ru/section/production/kostromskaya-oblast/</v>
      </c>
      <c r="G236" s="26"/>
      <c r="H236" s="24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42.5" x14ac:dyDescent="0.35">
      <c r="A237" s="156">
        <v>234</v>
      </c>
      <c r="B237" s="19" t="s">
        <v>413</v>
      </c>
      <c r="C237" s="159" t="s">
        <v>692</v>
      </c>
      <c r="D237" s="19" t="s">
        <v>414</v>
      </c>
      <c r="E237" s="19" t="s">
        <v>201</v>
      </c>
      <c r="F237" s="21" t="str">
        <f>HYPERLINK("http://rniisp.ru/index.php/kontakty","http://rniisp.ru/index.php/kontakty")</f>
        <v>http://rniisp.ru/index.php/kontakty</v>
      </c>
      <c r="G237" s="26"/>
      <c r="H237" s="24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42.5" x14ac:dyDescent="0.35">
      <c r="A238" s="19">
        <v>235</v>
      </c>
      <c r="B238" s="19" t="s">
        <v>1217</v>
      </c>
      <c r="C238" s="159" t="s">
        <v>668</v>
      </c>
      <c r="D238" s="19" t="s">
        <v>1218</v>
      </c>
      <c r="E238" s="19" t="s">
        <v>201</v>
      </c>
      <c r="F238" s="21" t="str">
        <f>HYPERLINK("http://www.kurskmed.com/structure/r-618.html","http://www.kurskmed.com/structure/r-618.html")</f>
        <v>http://www.kurskmed.com/structure/r-618.html</v>
      </c>
      <c r="G238" s="26"/>
      <c r="H238" s="24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42.5" x14ac:dyDescent="0.35">
      <c r="A239" s="156">
        <v>236</v>
      </c>
      <c r="B239" s="19" t="s">
        <v>422</v>
      </c>
      <c r="C239" s="159" t="s">
        <v>692</v>
      </c>
      <c r="D239" s="19" t="s">
        <v>423</v>
      </c>
      <c r="E239" s="19" t="s">
        <v>424</v>
      </c>
      <c r="F239" s="21" t="str">
        <f>HYPERLINK("http://vniirapsa.ru/ru/vakansii.html","http://vniirapsa.ru/ru/vakansii.html")</f>
        <v>http://vniirapsa.ru/ru/vakansii.html</v>
      </c>
      <c r="G239" s="26"/>
      <c r="H239" s="24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8.5" x14ac:dyDescent="0.35">
      <c r="A240" s="19">
        <v>237</v>
      </c>
      <c r="B240" s="19" t="s">
        <v>425</v>
      </c>
      <c r="C240" s="159" t="s">
        <v>690</v>
      </c>
      <c r="D240" s="19" t="s">
        <v>426</v>
      </c>
      <c r="E240" s="19" t="s">
        <v>424</v>
      </c>
      <c r="F240" s="21" t="str">
        <f>HYPERLINK("http://nlmk.com/ru/career/","http://nlmk.com/ru/career/")</f>
        <v>http://nlmk.com/ru/career/</v>
      </c>
      <c r="G240" s="21" t="str">
        <f>HYPERLINK("https://hh.ru/employer/579112","https://hh.ru/employer/579112")</f>
        <v>https://hh.ru/employer/579112</v>
      </c>
      <c r="H240" s="24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8.5" x14ac:dyDescent="0.35">
      <c r="A241" s="156">
        <v>238</v>
      </c>
      <c r="B241" s="19" t="s">
        <v>1220</v>
      </c>
      <c r="C241" s="159" t="s">
        <v>700</v>
      </c>
      <c r="D241" s="19" t="s">
        <v>1221</v>
      </c>
      <c r="E241" s="19" t="s">
        <v>424</v>
      </c>
      <c r="F241" s="21" t="str">
        <f>HYPERLINK("http://rafarma.ru/career/","http://rafarma.ru/career/")</f>
        <v>http://rafarma.ru/career/</v>
      </c>
      <c r="G241" s="21" t="str">
        <f>HYPERLINK("https://hh.ru/employer/697769","https://hh.ru/employer/697769")</f>
        <v>https://hh.ru/employer/697769</v>
      </c>
      <c r="H241" s="24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42.5" customHeight="1" x14ac:dyDescent="0.35">
      <c r="A242" s="19">
        <v>239</v>
      </c>
      <c r="B242" s="19" t="s">
        <v>1223</v>
      </c>
      <c r="C242" s="159" t="s">
        <v>668</v>
      </c>
      <c r="D242" s="19" t="s">
        <v>1463</v>
      </c>
      <c r="E242" s="19" t="s">
        <v>424</v>
      </c>
      <c r="F242" s="21" t="str">
        <f>HYPERLINK("http://lspu-lipetsk.ru/modules.php?name=TrudV&amp;page=3","http://lspu-lipetsk.ru/modules.php?name=TrudV&amp;page=3")</f>
        <v>http://lspu-lipetsk.ru/modules.php?name=TrudV&amp;page=3</v>
      </c>
      <c r="G242" s="26"/>
      <c r="H242" s="24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42.5" x14ac:dyDescent="0.35">
      <c r="A243" s="156">
        <v>240</v>
      </c>
      <c r="B243" s="19" t="s">
        <v>429</v>
      </c>
      <c r="C243" s="159" t="s">
        <v>692</v>
      </c>
      <c r="D243" s="19" t="s">
        <v>1225</v>
      </c>
      <c r="E243" s="19" t="s">
        <v>47</v>
      </c>
      <c r="F243" s="21" t="str">
        <f>HYPERLINK("http://vnipivzryv.ru/vacancies","http://vnipivzryv.ru/vacancies")</f>
        <v>http://vnipivzryv.ru/vacancies</v>
      </c>
      <c r="G243" s="21" t="str">
        <f>HYPERLINK("https://hh.ru/employer/1841913","https://hh.ru/employer/1841913")</f>
        <v>https://hh.ru/employer/1841913</v>
      </c>
      <c r="H243" s="24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8.5" x14ac:dyDescent="0.35">
      <c r="A244" s="19">
        <v>241</v>
      </c>
      <c r="B244" s="19" t="s">
        <v>1226</v>
      </c>
      <c r="C244" s="159" t="s">
        <v>692</v>
      </c>
      <c r="D244" s="19" t="s">
        <v>1227</v>
      </c>
      <c r="E244" s="19" t="s">
        <v>47</v>
      </c>
      <c r="F244" s="21" t="str">
        <f>HYPERLINK("http://www.lii.ru/kontakty.html","http://www.lii.ru/kontakty.html")</f>
        <v>http://www.lii.ru/kontakty.html</v>
      </c>
      <c r="G244" s="21" t="str">
        <f>HYPERLINK("https://hh.ru/employer/1217768","https://hh.ru/employer/1217768")</f>
        <v>https://hh.ru/employer/1217768</v>
      </c>
      <c r="H244" s="24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56.5" x14ac:dyDescent="0.35">
      <c r="A245" s="156">
        <v>242</v>
      </c>
      <c r="B245" s="19" t="s">
        <v>1228</v>
      </c>
      <c r="C245" s="159" t="s">
        <v>692</v>
      </c>
      <c r="D245" s="19" t="s">
        <v>1229</v>
      </c>
      <c r="E245" s="19" t="s">
        <v>47</v>
      </c>
      <c r="F245" s="21" t="str">
        <f>HYPERLINK("http://www.tsagi.ru/jobs/","http://www.tsagi.ru/jobs/")</f>
        <v>http://www.tsagi.ru/jobs/</v>
      </c>
      <c r="G245" s="21" t="str">
        <f>HYPERLINK("https://hh.ru/employer/1664245","https://hh.ru/employer/1664245")</f>
        <v>https://hh.ru/employer/1664245</v>
      </c>
      <c r="H245" s="24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8.5" x14ac:dyDescent="0.35">
      <c r="A246" s="19">
        <v>243</v>
      </c>
      <c r="B246" s="19" t="s">
        <v>430</v>
      </c>
      <c r="C246" s="159" t="s">
        <v>692</v>
      </c>
      <c r="D246" s="19" t="s">
        <v>1230</v>
      </c>
      <c r="E246" s="19" t="s">
        <v>47</v>
      </c>
      <c r="F246" s="21" t="str">
        <f>HYPERLINK("http://www.niiao.ru/personal/vakansii/","http://www.niiao.ru/personal/vakansii/")</f>
        <v>http://www.niiao.ru/personal/vakansii/</v>
      </c>
      <c r="G246" s="26"/>
      <c r="H246" s="24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8.5" x14ac:dyDescent="0.35">
      <c r="A247" s="156">
        <v>244</v>
      </c>
      <c r="B247" s="19" t="s">
        <v>431</v>
      </c>
      <c r="C247" s="159" t="s">
        <v>690</v>
      </c>
      <c r="D247" s="19" t="s">
        <v>1231</v>
      </c>
      <c r="E247" s="19" t="s">
        <v>47</v>
      </c>
      <c r="F247" s="21" t="str">
        <f>HYPERLINK("http://www.fine-info.ru/","http://www.fine-info.ru/")</f>
        <v>http://www.fine-info.ru/</v>
      </c>
      <c r="G247" s="26"/>
      <c r="H247" s="24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8.5" x14ac:dyDescent="0.35">
      <c r="A248" s="19">
        <v>245</v>
      </c>
      <c r="B248" s="19" t="s">
        <v>432</v>
      </c>
      <c r="C248" s="159" t="s">
        <v>690</v>
      </c>
      <c r="D248" s="19" t="s">
        <v>176</v>
      </c>
      <c r="E248" s="19" t="s">
        <v>47</v>
      </c>
      <c r="F248" s="21" t="str">
        <f>HYPERLINK("http://www.energia.ru/ru/corporation/stuff.html","http://www.energia.ru/ru/corporation/stuff.html")</f>
        <v>http://www.energia.ru/ru/corporation/stuff.html</v>
      </c>
      <c r="G248" s="26"/>
      <c r="H248" s="24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8.5" x14ac:dyDescent="0.35">
      <c r="A249" s="156">
        <v>246</v>
      </c>
      <c r="B249" s="19" t="s">
        <v>433</v>
      </c>
      <c r="C249" s="159" t="s">
        <v>690</v>
      </c>
      <c r="D249" s="19" t="s">
        <v>180</v>
      </c>
      <c r="E249" s="19" t="s">
        <v>47</v>
      </c>
      <c r="F249" s="21" t="str">
        <f>HYPERLINK("http://www.istokmw.ru/vakansii/","http://www.istokmw.ru/vakansii/")</f>
        <v>http://www.istokmw.ru/vakansii/</v>
      </c>
      <c r="G249" s="21" t="str">
        <f>HYPERLINK("https://hh.ru/employer/1750736","https://hh.ru/employer/1750736")</f>
        <v>https://hh.ru/employer/1750736</v>
      </c>
      <c r="H249" s="24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56.5" x14ac:dyDescent="0.35">
      <c r="A250" s="19">
        <v>247</v>
      </c>
      <c r="B250" s="19" t="s">
        <v>1232</v>
      </c>
      <c r="C250" s="159" t="s">
        <v>690</v>
      </c>
      <c r="D250" s="19" t="s">
        <v>1233</v>
      </c>
      <c r="E250" s="19" t="s">
        <v>47</v>
      </c>
      <c r="F250" s="21" t="str">
        <f>HYPERLINK("http://www.kniim.ru/index.php?option=com_content&amp;view=category&amp;id=2&amp;Itemid=8","http://www.kniim.ru/index.php?option=com_content&amp;view=category&amp;id=2&amp;Itemid=8")</f>
        <v>http://www.kniim.ru/index.php?option=com_content&amp;view=category&amp;id=2&amp;Itemid=8</v>
      </c>
      <c r="G250" s="26"/>
      <c r="H250" s="24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42.5" x14ac:dyDescent="0.35">
      <c r="A251" s="156">
        <v>248</v>
      </c>
      <c r="B251" s="19" t="s">
        <v>434</v>
      </c>
      <c r="C251" s="159" t="s">
        <v>690</v>
      </c>
      <c r="D251" s="19" t="s">
        <v>1236</v>
      </c>
      <c r="E251" s="19" t="s">
        <v>47</v>
      </c>
      <c r="F251" s="21" t="str">
        <f>HYPERLINK("http://www.laspace.ru/company/education/vacancies/","http://www.laspace.ru/company/education/vacancies/")</f>
        <v>http://www.laspace.ru/company/education/vacancies/</v>
      </c>
      <c r="G251" s="26"/>
      <c r="H251" s="24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8.5" x14ac:dyDescent="0.35">
      <c r="A252" s="19">
        <v>249</v>
      </c>
      <c r="B252" s="19" t="s">
        <v>435</v>
      </c>
      <c r="C252" s="159" t="s">
        <v>690</v>
      </c>
      <c r="D252" s="19" t="s">
        <v>1242</v>
      </c>
      <c r="E252" s="19" t="s">
        <v>47</v>
      </c>
      <c r="F252" s="21" t="str">
        <f>HYPERLINK("http://www.npoem.ru/about/staff/","http://www.npoem.ru/about/staff/")</f>
        <v>http://www.npoem.ru/about/staff/</v>
      </c>
      <c r="G252" s="21" t="str">
        <f>HYPERLINK("https://hh.ru/employer/228933","https://hh.ru/employer/228933")</f>
        <v>https://hh.ru/employer/228933</v>
      </c>
      <c r="H252" s="24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8.5" x14ac:dyDescent="0.35">
      <c r="A253" s="156">
        <v>250</v>
      </c>
      <c r="B253" s="19" t="s">
        <v>436</v>
      </c>
      <c r="C253" s="159" t="s">
        <v>690</v>
      </c>
      <c r="D253" s="19" t="s">
        <v>1246</v>
      </c>
      <c r="E253" s="19" t="s">
        <v>47</v>
      </c>
      <c r="F253" s="21" t="str">
        <f>HYPERLINK("http://aozio.ru/career/job2.html","http://aozio.ru/career/job2.html")</f>
        <v>http://aozio.ru/career/job2.html</v>
      </c>
      <c r="G253" s="26"/>
      <c r="H253" s="83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42.5" x14ac:dyDescent="0.35">
      <c r="A254" s="19">
        <v>251</v>
      </c>
      <c r="B254" s="19" t="s">
        <v>253</v>
      </c>
      <c r="C254" s="159" t="s">
        <v>692</v>
      </c>
      <c r="D254" s="19" t="s">
        <v>138</v>
      </c>
      <c r="E254" s="19" t="s">
        <v>47</v>
      </c>
      <c r="F254" s="21" t="str">
        <f>HYPERLINK("http://www.vniimzh.ru/institut/vakansii","http://www.vniimzh.ru/institut/vakansii")</f>
        <v>http://www.vniimzh.ru/institut/vakansii</v>
      </c>
      <c r="G254" s="26"/>
      <c r="H254" s="83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42.5" x14ac:dyDescent="0.35">
      <c r="A255" s="156">
        <v>252</v>
      </c>
      <c r="B255" s="19" t="s">
        <v>1248</v>
      </c>
      <c r="C255" s="159" t="s">
        <v>700</v>
      </c>
      <c r="D255" s="19" t="s">
        <v>1249</v>
      </c>
      <c r="E255" s="19" t="s">
        <v>47</v>
      </c>
      <c r="F255" s="21" t="str">
        <f>HYPERLINK("http://www.petrovax.ru/career/vacancies/","http://www.petrovax.ru/career/vacancies/")</f>
        <v>http://www.petrovax.ru/career/vacancies/</v>
      </c>
      <c r="G255" s="21" t="str">
        <f>HYPERLINK("https://hh.ru/employer/5995","https://hh.ru/employer/5995")</f>
        <v>https://hh.ru/employer/5995</v>
      </c>
      <c r="H255" s="24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70.5" x14ac:dyDescent="0.35">
      <c r="A256" s="19">
        <v>253</v>
      </c>
      <c r="B256" s="19" t="s">
        <v>1251</v>
      </c>
      <c r="C256" s="159" t="s">
        <v>692</v>
      </c>
      <c r="D256" s="19" t="s">
        <v>175</v>
      </c>
      <c r="E256" s="19" t="s">
        <v>47</v>
      </c>
      <c r="F256" s="21" t="str">
        <f>HYPERLINK("http://www.tsniitochmash.ru/%D0%B2%D0%B0%D0%BA%D0%B0%D0%BD%D1%81%D0%B8%D0%B8/","http://www.tsniitochmash.ru/%D0%B2%D0%B0%D0%BA%D0%B0%D0%BD%D1%81%D0%B8%D0%B8/")</f>
        <v>http://www.tsniitochmash.ru/%D0%B2%D0%B0%D0%BA%D0%B0%D0%BD%D1%81%D0%B8%D0%B8/</v>
      </c>
      <c r="G256" s="21" t="str">
        <f>HYPERLINK("https://hh.ru/employer/1128119","https://hh.ru/employer/1128119")</f>
        <v>https://hh.ru/employer/1128119</v>
      </c>
      <c r="H256" s="24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8.5" x14ac:dyDescent="0.35">
      <c r="A257" s="156">
        <v>254</v>
      </c>
      <c r="B257" s="19" t="s">
        <v>439</v>
      </c>
      <c r="C257" s="159" t="s">
        <v>690</v>
      </c>
      <c r="D257" s="19" t="s">
        <v>194</v>
      </c>
      <c r="E257" s="19" t="s">
        <v>47</v>
      </c>
      <c r="F257" s="21" t="str">
        <f>HYPERLINK("http://kbal.ru/page-28.html","http://kbal.ru/page-28.html")</f>
        <v>http://kbal.ru/page-28.html</v>
      </c>
      <c r="G257" s="26"/>
      <c r="H257" s="24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8.5" x14ac:dyDescent="0.35">
      <c r="A258" s="19">
        <v>255</v>
      </c>
      <c r="B258" s="19" t="s">
        <v>441</v>
      </c>
      <c r="C258" s="159" t="s">
        <v>690</v>
      </c>
      <c r="D258" s="19" t="s">
        <v>182</v>
      </c>
      <c r="E258" s="19" t="s">
        <v>47</v>
      </c>
      <c r="F258" s="21" t="str">
        <f>HYPERLINK("http://www.trknara.ru/contacts","http://www.trknara.ru/contacts")</f>
        <v>http://www.trknara.ru/contacts</v>
      </c>
      <c r="G258" s="26"/>
      <c r="H258" s="24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42.5" x14ac:dyDescent="0.35">
      <c r="A259" s="156">
        <v>256</v>
      </c>
      <c r="B259" s="19" t="s">
        <v>706</v>
      </c>
      <c r="C259" s="159" t="s">
        <v>690</v>
      </c>
      <c r="D259" s="19" t="s">
        <v>185</v>
      </c>
      <c r="E259" s="19" t="s">
        <v>47</v>
      </c>
      <c r="F259" s="21" t="str">
        <f>HYPERLINK("http://www.ipmt-hpm.ac.ru/conc/index.ru.html","http://www.ipmt-hpm.ac.ru/conc/index.ru.html")</f>
        <v>http://www.ipmt-hpm.ac.ru/conc/index.ru.html</v>
      </c>
      <c r="G259" s="26"/>
      <c r="H259" s="24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42.5" x14ac:dyDescent="0.35">
      <c r="A260" s="19">
        <v>257</v>
      </c>
      <c r="B260" s="19" t="s">
        <v>442</v>
      </c>
      <c r="C260" s="159" t="s">
        <v>692</v>
      </c>
      <c r="D260" s="19" t="s">
        <v>189</v>
      </c>
      <c r="E260" s="19" t="s">
        <v>47</v>
      </c>
      <c r="F260" s="21" t="str">
        <f>HYPERLINK("http://ribovodvniir.ru/index/kontakty/0-14","http://ribovodvniir.ru/index/kontakty/0-14")</f>
        <v>http://ribovodvniir.ru/index/kontakty/0-14</v>
      </c>
      <c r="G260" s="26"/>
      <c r="H260" s="24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8.5" x14ac:dyDescent="0.35">
      <c r="A261" s="156">
        <v>258</v>
      </c>
      <c r="B261" s="19" t="s">
        <v>443</v>
      </c>
      <c r="C261" s="159" t="s">
        <v>690</v>
      </c>
      <c r="D261" s="19" t="s">
        <v>187</v>
      </c>
      <c r="E261" s="19" t="s">
        <v>47</v>
      </c>
      <c r="F261" s="21" t="str">
        <f>HYPERLINK("http://ditc.ras.ru/Contacts.html","http://ditc.ras.ru/Contacts.html")</f>
        <v>http://ditc.ras.ru/Contacts.html</v>
      </c>
      <c r="G261" s="26"/>
      <c r="H261" s="24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42.5" x14ac:dyDescent="0.35">
      <c r="A262" s="19">
        <v>259</v>
      </c>
      <c r="B262" s="19" t="s">
        <v>445</v>
      </c>
      <c r="C262" s="159" t="s">
        <v>692</v>
      </c>
      <c r="D262" s="19" t="s">
        <v>191</v>
      </c>
      <c r="E262" s="19" t="s">
        <v>47</v>
      </c>
      <c r="F262" s="21" t="str">
        <f>HYPERLINK("http://nemchinowka.ru/","http://nemchinowka.ru")</f>
        <v>http://nemchinowka.ru</v>
      </c>
      <c r="G262" s="26"/>
      <c r="H262" s="24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8.5" x14ac:dyDescent="0.35">
      <c r="A263" s="156">
        <v>260</v>
      </c>
      <c r="B263" s="19" t="s">
        <v>446</v>
      </c>
      <c r="C263" s="159" t="s">
        <v>690</v>
      </c>
      <c r="D263" s="19" t="s">
        <v>198</v>
      </c>
      <c r="E263" s="19" t="s">
        <v>47</v>
      </c>
      <c r="F263" s="21" t="str">
        <f>HYPERLINK("http://www.nfmz.ru/vakansii.html","http://www.nfmz.ru/vakansii.html")</f>
        <v>http://www.nfmz.ru/vakansii.html</v>
      </c>
      <c r="G263" s="26"/>
      <c r="H263" s="24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56.5" x14ac:dyDescent="0.35">
      <c r="A264" s="19">
        <v>261</v>
      </c>
      <c r="B264" s="19" t="s">
        <v>447</v>
      </c>
      <c r="C264" s="159" t="s">
        <v>690</v>
      </c>
      <c r="D264" s="19" t="s">
        <v>178</v>
      </c>
      <c r="E264" s="19" t="s">
        <v>47</v>
      </c>
      <c r="F264" s="21" t="str">
        <f>HYPERLINK("http://shvabe.com/about/company/krasnogorskiy-zavod-im-s-a-zvereva/kontakts/","http://shvabe.com/about/company/krasnogorskiy-zavod-im-s-a-zvereva/kontakts/")</f>
        <v>http://shvabe.com/about/company/krasnogorskiy-zavod-im-s-a-zvereva/kontakts/</v>
      </c>
      <c r="G264" s="26"/>
      <c r="H264" s="24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42.5" x14ac:dyDescent="0.35">
      <c r="A265" s="156">
        <v>262</v>
      </c>
      <c r="B265" s="19" t="s">
        <v>1266</v>
      </c>
      <c r="C265" s="159" t="s">
        <v>690</v>
      </c>
      <c r="D265" s="19" t="s">
        <v>1267</v>
      </c>
      <c r="E265" s="19" t="s">
        <v>47</v>
      </c>
      <c r="F265" s="21" t="str">
        <f>HYPERLINK("http://www.tplusgroup.ru/career/vacancies/","http://www.tplusgroup.ru/career/vacancies/")</f>
        <v>http://www.tplusgroup.ru/career/vacancies/</v>
      </c>
      <c r="G265" s="21" t="str">
        <f>HYPERLINK("https://hh.ru/employer/4073","https://hh.ru/employer/4073")</f>
        <v>https://hh.ru/employer/4073</v>
      </c>
      <c r="H265" s="24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42.5" x14ac:dyDescent="0.35">
      <c r="A266" s="19">
        <v>263</v>
      </c>
      <c r="B266" s="19" t="s">
        <v>448</v>
      </c>
      <c r="C266" s="159" t="s">
        <v>692</v>
      </c>
      <c r="D266" s="19" t="s">
        <v>190</v>
      </c>
      <c r="E266" s="19" t="s">
        <v>47</v>
      </c>
      <c r="F266" s="21" t="str">
        <f>HYPERLINK("http://www.niidp.ru/index.php/ob-institute/vakansii","http://www.niidp.ru/index.php/ob-institute/vakansii")</f>
        <v>http://www.niidp.ru/index.php/ob-institute/vakansii</v>
      </c>
      <c r="G266" s="26"/>
      <c r="H266" s="24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42.5" x14ac:dyDescent="0.35">
      <c r="A267" s="156">
        <v>264</v>
      </c>
      <c r="B267" s="19" t="s">
        <v>449</v>
      </c>
      <c r="C267" s="159" t="s">
        <v>690</v>
      </c>
      <c r="D267" s="19" t="s">
        <v>183</v>
      </c>
      <c r="E267" s="19" t="s">
        <v>47</v>
      </c>
      <c r="F267" s="21" t="str">
        <f>HYPERLINK("http://acrubin.ru/64-vakansii.html","http://acrubin.ru/64-vakansii.html")</f>
        <v>http://acrubin.ru/64-vakansii.html</v>
      </c>
      <c r="G267" s="21" t="str">
        <f>HYPERLINK("https://hh.ru/employer/1035262","https://hh.ru/employer/1035262")</f>
        <v>https://hh.ru/employer/1035262</v>
      </c>
      <c r="H267" s="24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42.5" x14ac:dyDescent="0.35">
      <c r="A268" s="19">
        <v>265</v>
      </c>
      <c r="B268" s="77" t="s">
        <v>1274</v>
      </c>
      <c r="C268" s="159" t="s">
        <v>690</v>
      </c>
      <c r="D268" s="19" t="s">
        <v>1275</v>
      </c>
      <c r="E268" s="19" t="s">
        <v>47</v>
      </c>
      <c r="F268" s="21" t="str">
        <f>HYPERLINK("http://competentum.ru/","http://competentum.ru/")</f>
        <v>http://competentum.ru/</v>
      </c>
      <c r="G268" s="26"/>
      <c r="H268" s="24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42.5" x14ac:dyDescent="0.35">
      <c r="A269" s="156">
        <v>266</v>
      </c>
      <c r="B269" s="110" t="s">
        <v>1276</v>
      </c>
      <c r="C269" s="160" t="s">
        <v>692</v>
      </c>
      <c r="D269" s="64" t="s">
        <v>1277</v>
      </c>
      <c r="E269" s="64" t="s">
        <v>47</v>
      </c>
      <c r="F269" s="111" t="s">
        <v>1278</v>
      </c>
      <c r="G269" s="112"/>
      <c r="H269" s="24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s="108" customFormat="1" ht="42.5" x14ac:dyDescent="0.35">
      <c r="A270" s="19">
        <v>267</v>
      </c>
      <c r="B270" s="115" t="s">
        <v>1511</v>
      </c>
      <c r="C270" s="148" t="s">
        <v>734</v>
      </c>
      <c r="D270" s="115" t="s">
        <v>1512</v>
      </c>
      <c r="E270" s="115" t="s">
        <v>47</v>
      </c>
      <c r="F270" s="120" t="s">
        <v>1513</v>
      </c>
      <c r="G270" s="121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s="108" customFormat="1" ht="42.5" x14ac:dyDescent="0.35">
      <c r="A271" s="156">
        <v>268</v>
      </c>
      <c r="B271" s="115" t="s">
        <v>444</v>
      </c>
      <c r="C271" s="148" t="s">
        <v>668</v>
      </c>
      <c r="D271" s="115" t="s">
        <v>1284</v>
      </c>
      <c r="E271" s="115" t="s">
        <v>47</v>
      </c>
      <c r="F271" s="120" t="s">
        <v>1514</v>
      </c>
      <c r="G271" s="120" t="s">
        <v>1515</v>
      </c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s="108" customFormat="1" ht="56.5" x14ac:dyDescent="0.35">
      <c r="A272" s="19">
        <v>269</v>
      </c>
      <c r="B272" s="118" t="s">
        <v>1516</v>
      </c>
      <c r="C272" s="148" t="s">
        <v>690</v>
      </c>
      <c r="D272" s="115" t="s">
        <v>1517</v>
      </c>
      <c r="E272" s="115" t="s">
        <v>47</v>
      </c>
      <c r="F272" s="120" t="s">
        <v>1518</v>
      </c>
      <c r="G272" s="120" t="s">
        <v>1519</v>
      </c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42.5" x14ac:dyDescent="0.35">
      <c r="A273" s="156">
        <v>270</v>
      </c>
      <c r="B273" s="68" t="s">
        <v>495</v>
      </c>
      <c r="C273" s="161" t="s">
        <v>692</v>
      </c>
      <c r="D273" s="68" t="s">
        <v>496</v>
      </c>
      <c r="E273" s="68" t="s">
        <v>224</v>
      </c>
      <c r="F273" s="113" t="str">
        <f>HYPERLINK("http://www.vniizbk.ru/ru/contact.html","http://www.vniizbk.ru/ru/contact.html")</f>
        <v>http://www.vniizbk.ru/ru/contact.html</v>
      </c>
      <c r="G273" s="114"/>
      <c r="H273" s="24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42.5" x14ac:dyDescent="0.35">
      <c r="A274" s="19">
        <v>271</v>
      </c>
      <c r="B274" s="19" t="s">
        <v>444</v>
      </c>
      <c r="C274" s="159" t="s">
        <v>668</v>
      </c>
      <c r="D274" s="19" t="s">
        <v>1284</v>
      </c>
      <c r="E274" s="19" t="s">
        <v>47</v>
      </c>
      <c r="F274" s="21" t="str">
        <f>HYPERLINK("http://www.skoltech.ru/about/join-staff/","http://www.skoltech.ru/about/join-staff/")</f>
        <v>http://www.skoltech.ru/about/join-staff/</v>
      </c>
      <c r="G274" s="21" t="str">
        <f>HYPERLINK("https://hh.ru/employer/976931","https://hh.ru/employer/976931")</f>
        <v>https://hh.ru/employer/976931</v>
      </c>
      <c r="H274" s="24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56.5" x14ac:dyDescent="0.35">
      <c r="A275" s="156">
        <v>272</v>
      </c>
      <c r="B275" s="19" t="s">
        <v>593</v>
      </c>
      <c r="C275" s="159" t="s">
        <v>692</v>
      </c>
      <c r="D275" s="19" t="s">
        <v>504</v>
      </c>
      <c r="E275" s="19" t="s">
        <v>594</v>
      </c>
      <c r="F275" s="21" t="str">
        <f>HYPERLINK("http://www.vnims.ryazan.ru/vakans.html","http://www.vnims.ryazan.ru/vakans.html")</f>
        <v>http://www.vnims.ryazan.ru/vakans.html</v>
      </c>
      <c r="G275" s="43"/>
      <c r="H275" s="24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56.5" x14ac:dyDescent="0.35">
      <c r="A276" s="19">
        <v>273</v>
      </c>
      <c r="B276" s="19" t="s">
        <v>1289</v>
      </c>
      <c r="C276" s="159" t="s">
        <v>668</v>
      </c>
      <c r="D276" s="19" t="s">
        <v>1462</v>
      </c>
      <c r="E276" s="19" t="s">
        <v>594</v>
      </c>
      <c r="F276" s="21" t="str">
        <f>HYPERLINK("http://www.rzgmu.ru/workers/vacancies/","http://www.rzgmu.ru/workers/vacancies/")</f>
        <v>http://www.rzgmu.ru/workers/vacancies/</v>
      </c>
      <c r="G276" s="26"/>
      <c r="H276" s="24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8.5" x14ac:dyDescent="0.35">
      <c r="A277" s="156">
        <v>274</v>
      </c>
      <c r="B277" s="19" t="s">
        <v>595</v>
      </c>
      <c r="C277" s="19" t="s">
        <v>692</v>
      </c>
      <c r="D277" s="19" t="s">
        <v>505</v>
      </c>
      <c r="E277" s="19" t="s">
        <v>594</v>
      </c>
      <c r="F277" s="21" t="str">
        <f>HYPERLINK("http://www.bee.ryazan.ru/contacts.html","http://www.bee.ryazan.ru/contacts.html")</f>
        <v>http://www.bee.ryazan.ru/contacts.html</v>
      </c>
      <c r="G277" s="26"/>
      <c r="H277" s="24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8.5" x14ac:dyDescent="0.35">
      <c r="A278" s="19">
        <v>275</v>
      </c>
      <c r="B278" s="89" t="s">
        <v>1294</v>
      </c>
      <c r="C278" s="19" t="s">
        <v>690</v>
      </c>
      <c r="D278" s="19" t="s">
        <v>1295</v>
      </c>
      <c r="E278" s="19" t="s">
        <v>594</v>
      </c>
      <c r="F278" s="35" t="s">
        <v>1296</v>
      </c>
      <c r="G278" s="88"/>
      <c r="H278" s="24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42.5" x14ac:dyDescent="0.35">
      <c r="A279" s="156">
        <v>276</v>
      </c>
      <c r="B279" s="19" t="s">
        <v>623</v>
      </c>
      <c r="C279" s="19" t="s">
        <v>668</v>
      </c>
      <c r="D279" s="19" t="s">
        <v>541</v>
      </c>
      <c r="E279" s="19" t="s">
        <v>624</v>
      </c>
      <c r="F279" s="21" t="str">
        <f>HYPERLINK("http://smolgmu.ru/index.php?page%5bcommon%5d=dept&amp;id=2004","http://smolgmu.ru/index.php?page[common]=dept&amp;id=2004")</f>
        <v>http://smolgmu.ru/index.php?page[common]=dept&amp;id=2004</v>
      </c>
      <c r="G279" s="26"/>
      <c r="H279" s="24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42.5" x14ac:dyDescent="0.35">
      <c r="A280" s="19">
        <v>277</v>
      </c>
      <c r="B280" s="19" t="s">
        <v>625</v>
      </c>
      <c r="C280" s="19" t="s">
        <v>692</v>
      </c>
      <c r="D280" s="19" t="s">
        <v>543</v>
      </c>
      <c r="E280" s="19" t="s">
        <v>624</v>
      </c>
      <c r="F280" s="21" t="str">
        <f>HYPERLINK("http://smniish.ucoz.ru/index/0-7","http://smniish.ucoz.ru/index/0-7")</f>
        <v>http://smniish.ucoz.ru/index/0-7</v>
      </c>
      <c r="G280" s="26"/>
      <c r="H280" s="24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8.5" x14ac:dyDescent="0.35">
      <c r="A281" s="156">
        <v>278</v>
      </c>
      <c r="B281" s="19" t="s">
        <v>627</v>
      </c>
      <c r="C281" s="19" t="s">
        <v>692</v>
      </c>
      <c r="D281" s="19" t="s">
        <v>577</v>
      </c>
      <c r="E281" s="19" t="s">
        <v>216</v>
      </c>
      <c r="F281" s="21" t="str">
        <f>HYPERLINK("http://mzp.su/obrsv.php","http://mzp.su/obrsv.php")</f>
        <v>http://mzp.su/obrsv.php</v>
      </c>
      <c r="G281" s="26"/>
      <c r="H281" s="24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8.5" x14ac:dyDescent="0.35">
      <c r="A282" s="19">
        <v>279</v>
      </c>
      <c r="B282" s="89" t="s">
        <v>1302</v>
      </c>
      <c r="C282" s="19" t="s">
        <v>690</v>
      </c>
      <c r="D282" s="19" t="s">
        <v>1303</v>
      </c>
      <c r="E282" s="19" t="s">
        <v>216</v>
      </c>
      <c r="F282" s="35" t="s">
        <v>1304</v>
      </c>
      <c r="G282" s="31" t="s">
        <v>1305</v>
      </c>
      <c r="H282" s="24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8.5" x14ac:dyDescent="0.35">
      <c r="A283" s="156">
        <v>280</v>
      </c>
      <c r="B283" s="19" t="s">
        <v>125</v>
      </c>
      <c r="C283" s="19" t="s">
        <v>690</v>
      </c>
      <c r="D283" s="19" t="s">
        <v>1308</v>
      </c>
      <c r="E283" s="19" t="s">
        <v>214</v>
      </c>
      <c r="F283" s="21" t="str">
        <f>HYPERLINK("http://smz-stanki.ru/contacts/","http://smz-stanki.ru/contacts/")</f>
        <v>http://smz-stanki.ru/contacts/</v>
      </c>
      <c r="G283" s="26"/>
      <c r="H283" s="24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42.5" x14ac:dyDescent="0.35">
      <c r="A284" s="19">
        <v>281</v>
      </c>
      <c r="B284" s="19" t="s">
        <v>1311</v>
      </c>
      <c r="C284" s="19" t="s">
        <v>668</v>
      </c>
      <c r="D284" s="19" t="s">
        <v>331</v>
      </c>
      <c r="E284" s="19" t="s">
        <v>214</v>
      </c>
      <c r="F284" s="21" t="str">
        <f>HYPERLINK("http://tvgmu.ru/content/2/","http://tvgmu.ru/content/2/")</f>
        <v>http://tvgmu.ru/content/2/</v>
      </c>
      <c r="G284" s="26"/>
      <c r="H284" s="24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8.5" x14ac:dyDescent="0.35">
      <c r="A285" s="156">
        <v>282</v>
      </c>
      <c r="B285" s="19" t="s">
        <v>1312</v>
      </c>
      <c r="C285" s="19" t="s">
        <v>690</v>
      </c>
      <c r="D285" s="19" t="s">
        <v>1461</v>
      </c>
      <c r="E285" s="19" t="s">
        <v>637</v>
      </c>
      <c r="F285" s="21" t="str">
        <f>HYPERLINK("http://kbptula.ru/ru/kontakty","http://kbptula.ru/ru/kontakty")</f>
        <v>http://kbptula.ru/ru/kontakty</v>
      </c>
      <c r="G285" s="21" t="str">
        <f>HYPERLINK("https://tula.hh.ru/employer/1183378","https://tula.hh.ru/employer/1183378")</f>
        <v>https://tula.hh.ru/employer/1183378</v>
      </c>
      <c r="H285" s="24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8.5" x14ac:dyDescent="0.35">
      <c r="A286" s="19">
        <v>283</v>
      </c>
      <c r="B286" s="19" t="s">
        <v>1314</v>
      </c>
      <c r="C286" s="19" t="s">
        <v>690</v>
      </c>
      <c r="D286" s="19" t="s">
        <v>1460</v>
      </c>
      <c r="E286" s="19" t="s">
        <v>637</v>
      </c>
      <c r="F286" s="21" t="str">
        <f>HYPERLINK("http://splav.org/v3/vacancy.asp","http://splav.org/v3/vacancy.asp")</f>
        <v>http://splav.org/v3/vacancy.asp</v>
      </c>
      <c r="G286" s="21" t="str">
        <f>HYPERLINK("https://hh.ru/employer/1697545","https://hh.ru/employer/1697545")</f>
        <v>https://hh.ru/employer/1697545</v>
      </c>
      <c r="H286" s="24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42.5" x14ac:dyDescent="0.35">
      <c r="A287" s="156">
        <v>284</v>
      </c>
      <c r="B287" s="19" t="s">
        <v>1319</v>
      </c>
      <c r="C287" s="19" t="s">
        <v>694</v>
      </c>
      <c r="D287" s="19" t="s">
        <v>1320</v>
      </c>
      <c r="E287" s="19" t="s">
        <v>637</v>
      </c>
      <c r="F287" s="21" t="str">
        <f>HYPERLINK("http://www.invest-tula.com/contacts/","http://www.invest-tula.com/contacts/")</f>
        <v>http://www.invest-tula.com/contacts/</v>
      </c>
      <c r="G287" s="21" t="str">
        <f>HYPERLINK("https://tula.hh.ru/employer/1652038","https://tula.hh.ru/employer/1652038")</f>
        <v>https://tula.hh.ru/employer/1652038</v>
      </c>
      <c r="H287" s="24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42.5" x14ac:dyDescent="0.35">
      <c r="A288" s="19">
        <v>285</v>
      </c>
      <c r="B288" s="19" t="s">
        <v>638</v>
      </c>
      <c r="C288" s="19" t="s">
        <v>668</v>
      </c>
      <c r="D288" s="19" t="s">
        <v>550</v>
      </c>
      <c r="E288" s="19" t="s">
        <v>637</v>
      </c>
      <c r="F288" s="21" t="str">
        <f>HYPERLINK("http://rcst.tsu.tula.ru/vacancies/","http://rcst.tsu.tula.ru/vacancies/")</f>
        <v>http://rcst.tsu.tula.ru/vacancies/</v>
      </c>
      <c r="G288" s="26"/>
      <c r="H288" s="24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8.5" x14ac:dyDescent="0.35">
      <c r="A289" s="156">
        <v>286</v>
      </c>
      <c r="B289" s="19" t="s">
        <v>1333</v>
      </c>
      <c r="C289" s="19" t="s">
        <v>692</v>
      </c>
      <c r="D289" s="19" t="s">
        <v>1459</v>
      </c>
      <c r="E289" s="19" t="s">
        <v>637</v>
      </c>
      <c r="F289" s="21" t="str">
        <f>HYPERLINK("http://alhk.ru/list/vacances","http://alhk.ru/list/vacances")</f>
        <v>http://alhk.ru/list/vacances</v>
      </c>
      <c r="G289" s="21" t="str">
        <f>HYPERLINK("https://aleksin.hh.ru/employer/1373378","https://aleksin.hh.ru/employer/1373378")</f>
        <v>https://aleksin.hh.ru/employer/1373378</v>
      </c>
      <c r="H289" s="24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42.5" x14ac:dyDescent="0.35">
      <c r="A290" s="19">
        <v>287</v>
      </c>
      <c r="B290" s="19" t="s">
        <v>1340</v>
      </c>
      <c r="C290" s="19" t="s">
        <v>668</v>
      </c>
      <c r="D290" s="19" t="s">
        <v>1458</v>
      </c>
      <c r="E290" s="19" t="s">
        <v>135</v>
      </c>
      <c r="F290" s="21" t="str">
        <f>HYPERLINK("http://yspu.org/Main_Page","http://yspu.org/Main_Page")</f>
        <v>http://yspu.org/Main_Page</v>
      </c>
      <c r="G290" s="21" t="str">
        <f>HYPERLINK("https://yaroslavl.hh.ru/employer/1699263","https://yaroslavl.hh.ru/employer/1699263")</f>
        <v>https://yaroslavl.hh.ru/employer/1699263</v>
      </c>
      <c r="H290" s="24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8.5" x14ac:dyDescent="0.35">
      <c r="A291" s="156">
        <v>288</v>
      </c>
      <c r="B291" s="19" t="s">
        <v>660</v>
      </c>
      <c r="C291" s="19" t="s">
        <v>692</v>
      </c>
      <c r="D291" s="19" t="s">
        <v>296</v>
      </c>
      <c r="E291" s="19" t="s">
        <v>135</v>
      </c>
      <c r="F291" s="21" t="str">
        <f>HYPERLINK("http://www.botik.ru/PSI/","http://www.botik.ru/PSI/")</f>
        <v>http://www.botik.ru/PSI/</v>
      </c>
      <c r="G291" s="26"/>
      <c r="H291" s="24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8.5" x14ac:dyDescent="0.35">
      <c r="A292" s="19">
        <v>289</v>
      </c>
      <c r="B292" s="19" t="s">
        <v>661</v>
      </c>
      <c r="C292" s="19" t="s">
        <v>692</v>
      </c>
      <c r="D292" s="19" t="s">
        <v>294</v>
      </c>
      <c r="E292" s="19" t="s">
        <v>135</v>
      </c>
      <c r="F292" s="21" t="str">
        <f>HYPERLINK("http://www.npo-saturn.ru/?sat=252","http://www.npo-saturn.ru/?sat=252")</f>
        <v>http://www.npo-saturn.ru/?sat=252</v>
      </c>
      <c r="G292" s="26"/>
      <c r="H292" s="24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42.5" x14ac:dyDescent="0.35">
      <c r="A293" s="156">
        <v>290</v>
      </c>
      <c r="B293" s="19" t="s">
        <v>662</v>
      </c>
      <c r="C293" s="19" t="s">
        <v>690</v>
      </c>
      <c r="D293" s="19" t="s">
        <v>297</v>
      </c>
      <c r="E293" s="19" t="s">
        <v>135</v>
      </c>
      <c r="F293" s="21" t="str">
        <f>HYPERLINK("http://www.saturn-gt.ru/index.php/ru/karyera","http://www.saturn-gt.ru/index.php/ru/karyera")</f>
        <v>http://www.saturn-gt.ru/index.php/ru/karyera</v>
      </c>
      <c r="G293" s="21" t="str">
        <f>HYPERLINK("https://hh.ru/employer/1137872","https://hh.ru/employer/1137872")</f>
        <v>https://hh.ru/employer/1137872</v>
      </c>
      <c r="H293" s="24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42.5" x14ac:dyDescent="0.35">
      <c r="A294" s="19">
        <v>291</v>
      </c>
      <c r="B294" s="19" t="s">
        <v>663</v>
      </c>
      <c r="C294" s="19" t="s">
        <v>668</v>
      </c>
      <c r="D294" s="19" t="s">
        <v>293</v>
      </c>
      <c r="E294" s="19" t="s">
        <v>135</v>
      </c>
      <c r="F294" s="21" t="str">
        <f>HYPERLINK("http://www.rsatu.ru/","http://www.rsatu.ru/")</f>
        <v>http://www.rsatu.ru/</v>
      </c>
      <c r="G294" s="26"/>
      <c r="H294" s="24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8.5" x14ac:dyDescent="0.35">
      <c r="A295" s="156">
        <v>292</v>
      </c>
      <c r="B295" s="19" t="s">
        <v>1355</v>
      </c>
      <c r="C295" s="19" t="s">
        <v>700</v>
      </c>
      <c r="D295" s="19" t="s">
        <v>291</v>
      </c>
      <c r="E295" s="19" t="s">
        <v>135</v>
      </c>
      <c r="F295" s="21" t="str">
        <f>HYPERLINK("http://r-pharm.com/ru/contacts/","http://r-pharm.com/ru/contacts/")</f>
        <v>http://r-pharm.com/ru/contacts/</v>
      </c>
      <c r="G295" s="21" t="str">
        <f>HYPERLINK("https://hh.ru/employer/8121","https://hh.ru/employer/8121")</f>
        <v>https://hh.ru/employer/8121</v>
      </c>
      <c r="H295" s="24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8.5" x14ac:dyDescent="0.35">
      <c r="A296" s="19">
        <v>293</v>
      </c>
      <c r="B296" s="19" t="s">
        <v>664</v>
      </c>
      <c r="C296" s="19" t="s">
        <v>700</v>
      </c>
      <c r="D296" s="19" t="s">
        <v>292</v>
      </c>
      <c r="E296" s="19" t="s">
        <v>135</v>
      </c>
      <c r="F296" s="31" t="s">
        <v>1364</v>
      </c>
      <c r="G296" s="26"/>
      <c r="H296" s="44"/>
      <c r="I296" s="44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70.5" x14ac:dyDescent="0.35">
      <c r="A297" s="156">
        <v>294</v>
      </c>
      <c r="B297" s="89" t="s">
        <v>1367</v>
      </c>
      <c r="C297" s="19" t="s">
        <v>700</v>
      </c>
      <c r="D297" s="19" t="s">
        <v>1369</v>
      </c>
      <c r="E297" s="19" t="s">
        <v>135</v>
      </c>
      <c r="F297" s="35" t="s">
        <v>1370</v>
      </c>
      <c r="G297" s="26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35">
      <c r="A298" s="2"/>
      <c r="C298" s="2"/>
      <c r="D298" s="2"/>
      <c r="E298" s="2"/>
      <c r="F298" s="98"/>
      <c r="G298" s="98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35">
      <c r="A299" s="2"/>
      <c r="C299" s="2"/>
      <c r="D299" s="2"/>
      <c r="E299" s="2"/>
      <c r="F299" s="98"/>
      <c r="G299" s="98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35">
      <c r="A300" s="2"/>
      <c r="C300" s="2"/>
      <c r="D300" s="2"/>
      <c r="E300" s="2"/>
      <c r="F300" s="98"/>
      <c r="G300" s="98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35">
      <c r="A301" s="2"/>
      <c r="C301" s="2"/>
      <c r="D301" s="2"/>
      <c r="E301" s="2"/>
      <c r="F301" s="98"/>
      <c r="G301" s="98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35">
      <c r="A302" s="2"/>
      <c r="C302" s="2"/>
      <c r="D302" s="2"/>
      <c r="E302" s="2"/>
      <c r="F302" s="98"/>
      <c r="G302" s="98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35">
      <c r="A303" s="2"/>
      <c r="C303" s="2"/>
      <c r="D303" s="2"/>
      <c r="E303" s="2"/>
      <c r="F303" s="98"/>
      <c r="G303" s="98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35">
      <c r="A304" s="2"/>
      <c r="C304" s="2"/>
      <c r="D304" s="2"/>
      <c r="E304" s="2"/>
      <c r="F304" s="98"/>
      <c r="G304" s="98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35">
      <c r="A305" s="2"/>
      <c r="C305" s="2"/>
      <c r="D305" s="2"/>
      <c r="E305" s="2"/>
      <c r="F305" s="98"/>
      <c r="G305" s="98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35">
      <c r="A306" s="2"/>
      <c r="C306" s="2"/>
      <c r="D306" s="2"/>
      <c r="E306" s="2"/>
      <c r="F306" s="98"/>
      <c r="G306" s="98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35">
      <c r="A307" s="2"/>
      <c r="C307" s="2"/>
      <c r="D307" s="2"/>
      <c r="E307" s="2"/>
      <c r="F307" s="98"/>
      <c r="G307" s="98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35">
      <c r="A308" s="2"/>
      <c r="C308" s="2"/>
      <c r="D308" s="2"/>
      <c r="E308" s="2"/>
      <c r="F308" s="98"/>
      <c r="G308" s="98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35">
      <c r="A309" s="2"/>
      <c r="C309" s="2"/>
      <c r="D309" s="2"/>
      <c r="E309" s="2"/>
      <c r="F309" s="98"/>
      <c r="G309" s="98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35">
      <c r="A310" s="2"/>
      <c r="C310" s="2"/>
      <c r="D310" s="2"/>
      <c r="E310" s="2"/>
      <c r="F310" s="98"/>
      <c r="G310" s="98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35">
      <c r="A311" s="2"/>
      <c r="C311" s="2"/>
      <c r="D311" s="2"/>
      <c r="E311" s="2"/>
      <c r="F311" s="98"/>
      <c r="G311" s="98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35">
      <c r="A312" s="2"/>
      <c r="C312" s="2"/>
      <c r="D312" s="2"/>
      <c r="E312" s="2"/>
      <c r="F312" s="98"/>
      <c r="G312" s="98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35">
      <c r="A313" s="2"/>
      <c r="C313" s="2"/>
      <c r="D313" s="2"/>
      <c r="E313" s="2"/>
      <c r="F313" s="98"/>
      <c r="G313" s="98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35">
      <c r="A314" s="2"/>
      <c r="C314" s="2"/>
      <c r="D314" s="2"/>
      <c r="E314" s="2"/>
      <c r="F314" s="98"/>
      <c r="G314" s="98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35">
      <c r="A315" s="2"/>
      <c r="C315" s="2"/>
      <c r="D315" s="2"/>
      <c r="E315" s="2"/>
      <c r="F315" s="98"/>
      <c r="G315" s="98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35">
      <c r="A316" s="2"/>
      <c r="C316" s="2"/>
      <c r="D316" s="2"/>
      <c r="E316" s="2"/>
      <c r="F316" s="98"/>
      <c r="G316" s="98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35">
      <c r="A317" s="2"/>
      <c r="C317" s="2"/>
      <c r="D317" s="2"/>
      <c r="E317" s="2"/>
      <c r="F317" s="98"/>
      <c r="G317" s="98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35">
      <c r="A318" s="2"/>
      <c r="C318" s="2"/>
      <c r="D318" s="2"/>
      <c r="E318" s="2"/>
      <c r="F318" s="98"/>
      <c r="G318" s="98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35">
      <c r="A319" s="2"/>
      <c r="C319" s="2"/>
      <c r="D319" s="2"/>
      <c r="E319" s="2"/>
      <c r="F319" s="98"/>
      <c r="G319" s="98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35">
      <c r="A320" s="2"/>
      <c r="C320" s="2"/>
      <c r="D320" s="2"/>
      <c r="E320" s="2"/>
      <c r="F320" s="98"/>
      <c r="G320" s="98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35">
      <c r="A321" s="2"/>
      <c r="C321" s="2"/>
      <c r="D321" s="2"/>
      <c r="E321" s="2"/>
      <c r="F321" s="98"/>
      <c r="G321" s="98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35">
      <c r="A322" s="2"/>
      <c r="C322" s="2"/>
      <c r="D322" s="2"/>
      <c r="E322" s="2"/>
      <c r="F322" s="98"/>
      <c r="G322" s="98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35">
      <c r="A323" s="2"/>
      <c r="C323" s="2"/>
      <c r="D323" s="2"/>
      <c r="E323" s="2"/>
      <c r="F323" s="98"/>
      <c r="G323" s="98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35">
      <c r="A324" s="2"/>
      <c r="C324" s="2"/>
      <c r="D324" s="2"/>
      <c r="E324" s="2"/>
      <c r="F324" s="98"/>
      <c r="G324" s="98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35">
      <c r="A325" s="2"/>
      <c r="C325" s="2"/>
      <c r="D325" s="2"/>
      <c r="E325" s="2"/>
      <c r="F325" s="98"/>
      <c r="G325" s="98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35">
      <c r="A326" s="2"/>
      <c r="C326" s="2"/>
      <c r="D326" s="2"/>
      <c r="E326" s="2"/>
      <c r="F326" s="98"/>
      <c r="G326" s="98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35">
      <c r="A327" s="2"/>
      <c r="C327" s="2"/>
      <c r="D327" s="2"/>
      <c r="E327" s="2"/>
      <c r="F327" s="98"/>
      <c r="G327" s="98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35">
      <c r="A328" s="2"/>
      <c r="C328" s="2"/>
      <c r="D328" s="2"/>
      <c r="E328" s="2"/>
      <c r="F328" s="98"/>
      <c r="G328" s="98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35">
      <c r="A329" s="2"/>
      <c r="C329" s="2"/>
      <c r="D329" s="2"/>
      <c r="E329" s="2"/>
      <c r="F329" s="98"/>
      <c r="G329" s="98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35">
      <c r="A330" s="2"/>
      <c r="C330" s="2"/>
      <c r="D330" s="2"/>
      <c r="E330" s="2"/>
      <c r="F330" s="98"/>
      <c r="G330" s="98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35">
      <c r="A331" s="2"/>
      <c r="C331" s="2"/>
      <c r="D331" s="2"/>
      <c r="E331" s="2"/>
      <c r="F331" s="98"/>
      <c r="G331" s="98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35">
      <c r="A332" s="2"/>
      <c r="C332" s="2"/>
      <c r="D332" s="2"/>
      <c r="E332" s="2"/>
      <c r="F332" s="98"/>
      <c r="G332" s="98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35">
      <c r="A333" s="2"/>
      <c r="C333" s="2"/>
      <c r="D333" s="2"/>
      <c r="E333" s="2"/>
      <c r="F333" s="98"/>
      <c r="G333" s="98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35">
      <c r="A334" s="2"/>
      <c r="C334" s="2"/>
      <c r="D334" s="2"/>
      <c r="E334" s="2"/>
      <c r="F334" s="98"/>
      <c r="G334" s="98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35">
      <c r="A335" s="2"/>
      <c r="C335" s="2"/>
      <c r="D335" s="2"/>
      <c r="E335" s="2"/>
      <c r="F335" s="98"/>
      <c r="G335" s="98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35">
      <c r="A336" s="2"/>
      <c r="C336" s="2"/>
      <c r="D336" s="2"/>
      <c r="E336" s="2"/>
      <c r="F336" s="98"/>
      <c r="G336" s="98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35">
      <c r="A337" s="2"/>
      <c r="C337" s="2"/>
      <c r="D337" s="2"/>
      <c r="E337" s="2"/>
      <c r="F337" s="98"/>
      <c r="G337" s="98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35">
      <c r="A338" s="2"/>
      <c r="C338" s="2"/>
      <c r="D338" s="2"/>
      <c r="E338" s="2"/>
      <c r="F338" s="98"/>
      <c r="G338" s="98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35">
      <c r="A339" s="2"/>
      <c r="C339" s="2"/>
      <c r="D339" s="2"/>
      <c r="E339" s="2"/>
      <c r="F339" s="98"/>
      <c r="G339" s="98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35">
      <c r="A340" s="2"/>
      <c r="C340" s="2"/>
      <c r="D340" s="2"/>
      <c r="E340" s="2"/>
      <c r="F340" s="98"/>
      <c r="G340" s="98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35">
      <c r="A341" s="2"/>
      <c r="C341" s="2"/>
      <c r="D341" s="2"/>
      <c r="E341" s="2"/>
      <c r="F341" s="98"/>
      <c r="G341" s="98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35">
      <c r="A342" s="2"/>
      <c r="C342" s="2"/>
      <c r="D342" s="2"/>
      <c r="E342" s="2"/>
      <c r="F342" s="98"/>
      <c r="G342" s="98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35">
      <c r="A343" s="2"/>
      <c r="C343" s="2"/>
      <c r="D343" s="2"/>
      <c r="E343" s="2"/>
      <c r="F343" s="98"/>
      <c r="G343" s="98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35">
      <c r="A344" s="2"/>
      <c r="C344" s="2"/>
      <c r="D344" s="2"/>
      <c r="E344" s="2"/>
      <c r="F344" s="98"/>
      <c r="G344" s="98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35">
      <c r="A345" s="2"/>
      <c r="C345" s="2"/>
      <c r="D345" s="2"/>
      <c r="E345" s="2"/>
      <c r="F345" s="98"/>
      <c r="G345" s="98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35">
      <c r="A346" s="2"/>
      <c r="C346" s="2"/>
      <c r="D346" s="2"/>
      <c r="E346" s="2"/>
      <c r="F346" s="98"/>
      <c r="G346" s="98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35">
      <c r="A347" s="2"/>
      <c r="C347" s="2"/>
      <c r="D347" s="2"/>
      <c r="E347" s="2"/>
      <c r="F347" s="98"/>
      <c r="G347" s="98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35">
      <c r="A348" s="2"/>
      <c r="C348" s="2"/>
      <c r="D348" s="2"/>
      <c r="E348" s="2"/>
      <c r="F348" s="98"/>
      <c r="G348" s="98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35">
      <c r="A349" s="2"/>
      <c r="C349" s="2"/>
      <c r="D349" s="2"/>
      <c r="E349" s="2"/>
      <c r="F349" s="98"/>
      <c r="G349" s="98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35">
      <c r="A350" s="2"/>
      <c r="C350" s="2"/>
      <c r="D350" s="2"/>
      <c r="E350" s="2"/>
      <c r="F350" s="98"/>
      <c r="G350" s="98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35">
      <c r="A351" s="2"/>
      <c r="C351" s="2"/>
      <c r="D351" s="2"/>
      <c r="E351" s="2"/>
      <c r="F351" s="98"/>
      <c r="G351" s="98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35">
      <c r="A352" s="2"/>
      <c r="C352" s="2"/>
      <c r="D352" s="2"/>
      <c r="E352" s="2"/>
      <c r="F352" s="98"/>
      <c r="G352" s="98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35">
      <c r="A353" s="2"/>
      <c r="C353" s="2"/>
      <c r="D353" s="2"/>
      <c r="E353" s="2"/>
      <c r="F353" s="98"/>
      <c r="G353" s="98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35">
      <c r="A354" s="2"/>
      <c r="C354" s="2"/>
      <c r="D354" s="2"/>
      <c r="E354" s="2"/>
      <c r="F354" s="98"/>
      <c r="G354" s="98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35">
      <c r="A355" s="2"/>
      <c r="C355" s="2"/>
      <c r="D355" s="2"/>
      <c r="E355" s="2"/>
      <c r="F355" s="98"/>
      <c r="G355" s="98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35">
      <c r="A356" s="2"/>
      <c r="C356" s="2"/>
      <c r="D356" s="2"/>
      <c r="E356" s="2"/>
      <c r="F356" s="98"/>
      <c r="G356" s="98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35">
      <c r="A357" s="2"/>
      <c r="C357" s="2"/>
      <c r="D357" s="2"/>
      <c r="E357" s="2"/>
      <c r="F357" s="98"/>
      <c r="G357" s="98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35">
      <c r="A358" s="2"/>
      <c r="C358" s="2"/>
      <c r="D358" s="2"/>
      <c r="E358" s="2"/>
      <c r="F358" s="98"/>
      <c r="G358" s="98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35">
      <c r="A359" s="2"/>
      <c r="C359" s="2"/>
      <c r="D359" s="2"/>
      <c r="E359" s="2"/>
      <c r="F359" s="98"/>
      <c r="G359" s="98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35">
      <c r="A360" s="2"/>
      <c r="C360" s="2"/>
      <c r="D360" s="2"/>
      <c r="E360" s="2"/>
      <c r="F360" s="98"/>
      <c r="G360" s="98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35">
      <c r="A361" s="2"/>
      <c r="C361" s="2"/>
      <c r="D361" s="2"/>
      <c r="E361" s="2"/>
      <c r="F361" s="98"/>
      <c r="G361" s="98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35">
      <c r="A362" s="2"/>
      <c r="C362" s="2"/>
      <c r="D362" s="2"/>
      <c r="E362" s="2"/>
      <c r="F362" s="98"/>
      <c r="G362" s="98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35">
      <c r="A363" s="2"/>
      <c r="C363" s="2"/>
      <c r="D363" s="2"/>
      <c r="E363" s="2"/>
      <c r="F363" s="98"/>
      <c r="G363" s="98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35">
      <c r="A364" s="2"/>
      <c r="C364" s="2"/>
      <c r="D364" s="2"/>
      <c r="E364" s="2"/>
      <c r="F364" s="98"/>
      <c r="G364" s="98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35">
      <c r="A365" s="2"/>
      <c r="C365" s="2"/>
      <c r="D365" s="2"/>
      <c r="E365" s="2"/>
      <c r="F365" s="98"/>
      <c r="G365" s="98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35">
      <c r="A366" s="2"/>
      <c r="C366" s="2"/>
      <c r="D366" s="2"/>
      <c r="E366" s="2"/>
      <c r="F366" s="98"/>
      <c r="G366" s="98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35">
      <c r="A367" s="2"/>
      <c r="C367" s="2"/>
      <c r="D367" s="2"/>
      <c r="E367" s="2"/>
      <c r="F367" s="98"/>
      <c r="G367" s="98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35">
      <c r="A368" s="2"/>
      <c r="C368" s="2"/>
      <c r="D368" s="2"/>
      <c r="E368" s="2"/>
      <c r="F368" s="98"/>
      <c r="G368" s="98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35">
      <c r="A369" s="2"/>
      <c r="C369" s="2"/>
      <c r="D369" s="2"/>
      <c r="E369" s="2"/>
      <c r="F369" s="98"/>
      <c r="G369" s="98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35">
      <c r="A370" s="2"/>
      <c r="C370" s="2"/>
      <c r="D370" s="2"/>
      <c r="E370" s="2"/>
      <c r="F370" s="98"/>
      <c r="G370" s="98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35">
      <c r="A371" s="2"/>
      <c r="C371" s="2"/>
      <c r="D371" s="2"/>
      <c r="E371" s="2"/>
      <c r="F371" s="98"/>
      <c r="G371" s="98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35">
      <c r="A372" s="2"/>
      <c r="C372" s="2"/>
      <c r="D372" s="2"/>
      <c r="E372" s="2"/>
      <c r="F372" s="98"/>
      <c r="G372" s="98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35">
      <c r="A373" s="2"/>
      <c r="C373" s="2"/>
      <c r="D373" s="2"/>
      <c r="E373" s="2"/>
      <c r="F373" s="98"/>
      <c r="G373" s="98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35">
      <c r="A374" s="2"/>
      <c r="C374" s="2"/>
      <c r="D374" s="2"/>
      <c r="E374" s="2"/>
      <c r="F374" s="98"/>
      <c r="G374" s="98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35">
      <c r="A375" s="2"/>
      <c r="C375" s="2"/>
      <c r="D375" s="2"/>
      <c r="E375" s="2"/>
      <c r="F375" s="98"/>
      <c r="G375" s="98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35">
      <c r="A376" s="2"/>
      <c r="C376" s="2"/>
      <c r="D376" s="2"/>
      <c r="E376" s="2"/>
      <c r="F376" s="98"/>
      <c r="G376" s="98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35">
      <c r="A377" s="2"/>
      <c r="C377" s="2"/>
      <c r="D377" s="2"/>
      <c r="E377" s="2"/>
      <c r="F377" s="98"/>
      <c r="G377" s="98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35">
      <c r="A378" s="2"/>
      <c r="C378" s="2"/>
      <c r="D378" s="2"/>
      <c r="E378" s="2"/>
      <c r="F378" s="98"/>
      <c r="G378" s="98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35">
      <c r="A379" s="2"/>
      <c r="C379" s="2"/>
      <c r="D379" s="2"/>
      <c r="E379" s="2"/>
      <c r="F379" s="98"/>
      <c r="G379" s="98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35">
      <c r="A380" s="2"/>
      <c r="C380" s="2"/>
      <c r="D380" s="2"/>
      <c r="E380" s="2"/>
      <c r="F380" s="98"/>
      <c r="G380" s="98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35">
      <c r="A381" s="2"/>
      <c r="C381" s="2"/>
      <c r="D381" s="2"/>
      <c r="E381" s="2"/>
      <c r="F381" s="98"/>
      <c r="G381" s="98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35">
      <c r="A382" s="2"/>
      <c r="C382" s="2"/>
      <c r="D382" s="2"/>
      <c r="E382" s="2"/>
      <c r="F382" s="98"/>
      <c r="G382" s="98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35">
      <c r="A383" s="2"/>
      <c r="C383" s="2"/>
      <c r="D383" s="2"/>
      <c r="E383" s="2"/>
      <c r="F383" s="98"/>
      <c r="G383" s="98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35">
      <c r="A384" s="2"/>
      <c r="C384" s="2"/>
      <c r="D384" s="2"/>
      <c r="E384" s="2"/>
      <c r="F384" s="98"/>
      <c r="G384" s="98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35">
      <c r="A385" s="2"/>
      <c r="C385" s="2"/>
      <c r="D385" s="2"/>
      <c r="E385" s="2"/>
      <c r="F385" s="98"/>
      <c r="G385" s="98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35">
      <c r="A386" s="2"/>
      <c r="C386" s="2"/>
      <c r="D386" s="2"/>
      <c r="E386" s="2"/>
      <c r="F386" s="98"/>
      <c r="G386" s="98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35">
      <c r="A387" s="2"/>
      <c r="C387" s="2"/>
      <c r="D387" s="2"/>
      <c r="E387" s="2"/>
      <c r="F387" s="98"/>
      <c r="G387" s="98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35">
      <c r="A388" s="2"/>
      <c r="C388" s="2"/>
      <c r="D388" s="2"/>
      <c r="E388" s="2"/>
      <c r="F388" s="98"/>
      <c r="G388" s="98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35">
      <c r="A389" s="2"/>
      <c r="C389" s="2"/>
      <c r="D389" s="2"/>
      <c r="E389" s="2"/>
      <c r="F389" s="98"/>
      <c r="G389" s="98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35">
      <c r="A390" s="2"/>
      <c r="C390" s="2"/>
      <c r="D390" s="2"/>
      <c r="E390" s="2"/>
      <c r="F390" s="98"/>
      <c r="G390" s="98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35">
      <c r="A391" s="2"/>
      <c r="C391" s="2"/>
      <c r="D391" s="2"/>
      <c r="E391" s="2"/>
      <c r="F391" s="98"/>
      <c r="G391" s="98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35">
      <c r="A392" s="2"/>
      <c r="C392" s="2"/>
      <c r="D392" s="2"/>
      <c r="E392" s="2"/>
      <c r="F392" s="98"/>
      <c r="G392" s="98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35">
      <c r="A393" s="2"/>
      <c r="C393" s="2"/>
      <c r="D393" s="2"/>
      <c r="E393" s="2"/>
      <c r="F393" s="98"/>
      <c r="G393" s="98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35">
      <c r="A394" s="2"/>
      <c r="C394" s="2"/>
      <c r="D394" s="2"/>
      <c r="E394" s="2"/>
      <c r="F394" s="98"/>
      <c r="G394" s="98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35">
      <c r="A395" s="2"/>
      <c r="C395" s="2"/>
      <c r="D395" s="2"/>
      <c r="E395" s="2"/>
      <c r="F395" s="98"/>
      <c r="G395" s="98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35">
      <c r="A396" s="2"/>
      <c r="C396" s="2"/>
      <c r="D396" s="2"/>
      <c r="E396" s="2"/>
      <c r="F396" s="98"/>
      <c r="G396" s="98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35">
      <c r="A397" s="2"/>
      <c r="C397" s="2"/>
      <c r="D397" s="2"/>
      <c r="E397" s="2"/>
      <c r="F397" s="98"/>
      <c r="G397" s="98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35">
      <c r="A398" s="2"/>
      <c r="C398" s="2"/>
      <c r="D398" s="2"/>
      <c r="E398" s="2"/>
      <c r="F398" s="98"/>
      <c r="G398" s="98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35">
      <c r="A399" s="2"/>
      <c r="C399" s="2"/>
      <c r="D399" s="2"/>
      <c r="E399" s="2"/>
      <c r="F399" s="98"/>
      <c r="G399" s="98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35">
      <c r="A400" s="2"/>
      <c r="C400" s="2"/>
      <c r="D400" s="2"/>
      <c r="E400" s="2"/>
      <c r="F400" s="98"/>
      <c r="G400" s="98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35">
      <c r="A401" s="2"/>
      <c r="C401" s="2"/>
      <c r="D401" s="2"/>
      <c r="E401" s="2"/>
      <c r="F401" s="98"/>
      <c r="G401" s="98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35">
      <c r="A402" s="2"/>
      <c r="C402" s="2"/>
      <c r="D402" s="2"/>
      <c r="E402" s="2"/>
      <c r="F402" s="98"/>
      <c r="G402" s="98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35">
      <c r="A403" s="2"/>
      <c r="C403" s="2"/>
      <c r="D403" s="2"/>
      <c r="E403" s="2"/>
      <c r="F403" s="98"/>
      <c r="G403" s="98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35">
      <c r="A404" s="2"/>
      <c r="C404" s="2"/>
      <c r="D404" s="2"/>
      <c r="E404" s="2"/>
      <c r="F404" s="98"/>
      <c r="G404" s="98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35">
      <c r="A405" s="2"/>
      <c r="C405" s="2"/>
      <c r="D405" s="2"/>
      <c r="E405" s="2"/>
      <c r="F405" s="98"/>
      <c r="G405" s="98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35">
      <c r="A406" s="2"/>
      <c r="C406" s="2"/>
      <c r="D406" s="2"/>
      <c r="E406" s="2"/>
      <c r="F406" s="98"/>
      <c r="G406" s="98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35">
      <c r="A407" s="2"/>
      <c r="C407" s="2"/>
      <c r="D407" s="2"/>
      <c r="E407" s="2"/>
      <c r="F407" s="98"/>
      <c r="G407" s="98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35">
      <c r="A408" s="2"/>
      <c r="C408" s="2"/>
      <c r="D408" s="2"/>
      <c r="E408" s="2"/>
      <c r="F408" s="98"/>
      <c r="G408" s="98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35">
      <c r="A409" s="2"/>
      <c r="C409" s="2"/>
      <c r="D409" s="2"/>
      <c r="E409" s="2"/>
      <c r="F409" s="98"/>
      <c r="G409" s="98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35">
      <c r="A410" s="2"/>
      <c r="C410" s="2"/>
      <c r="D410" s="2"/>
      <c r="E410" s="2"/>
      <c r="F410" s="98"/>
      <c r="G410" s="98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35">
      <c r="A411" s="2"/>
      <c r="C411" s="2"/>
      <c r="D411" s="2"/>
      <c r="E411" s="2"/>
      <c r="F411" s="98"/>
      <c r="G411" s="98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35">
      <c r="A412" s="2"/>
      <c r="C412" s="2"/>
      <c r="D412" s="2"/>
      <c r="E412" s="2"/>
      <c r="F412" s="98"/>
      <c r="G412" s="98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35">
      <c r="A413" s="2"/>
      <c r="C413" s="2"/>
      <c r="D413" s="2"/>
      <c r="E413" s="2"/>
      <c r="F413" s="98"/>
      <c r="G413" s="98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35">
      <c r="A414" s="2"/>
      <c r="C414" s="2"/>
      <c r="D414" s="2"/>
      <c r="E414" s="2"/>
      <c r="F414" s="98"/>
      <c r="G414" s="98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35">
      <c r="A415" s="2"/>
      <c r="C415" s="2"/>
      <c r="D415" s="2"/>
      <c r="E415" s="2"/>
      <c r="F415" s="98"/>
      <c r="G415" s="98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35">
      <c r="A416" s="2"/>
      <c r="C416" s="2"/>
      <c r="D416" s="2"/>
      <c r="E416" s="2"/>
      <c r="F416" s="98"/>
      <c r="G416" s="98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35">
      <c r="A417" s="2"/>
      <c r="C417" s="2"/>
      <c r="D417" s="2"/>
      <c r="E417" s="2"/>
      <c r="F417" s="98"/>
      <c r="G417" s="98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35">
      <c r="A418" s="2"/>
      <c r="C418" s="2"/>
      <c r="D418" s="2"/>
      <c r="E418" s="2"/>
      <c r="F418" s="98"/>
      <c r="G418" s="98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35">
      <c r="A419" s="2"/>
      <c r="C419" s="2"/>
      <c r="D419" s="2"/>
      <c r="E419" s="2"/>
      <c r="F419" s="98"/>
      <c r="G419" s="98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35">
      <c r="A420" s="2"/>
      <c r="C420" s="2"/>
      <c r="D420" s="2"/>
      <c r="E420" s="2"/>
      <c r="F420" s="98"/>
      <c r="G420" s="98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35">
      <c r="A421" s="2"/>
      <c r="C421" s="2"/>
      <c r="D421" s="2"/>
      <c r="E421" s="2"/>
      <c r="F421" s="98"/>
      <c r="G421" s="98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35">
      <c r="A422" s="2"/>
      <c r="C422" s="2"/>
      <c r="D422" s="2"/>
      <c r="E422" s="2"/>
      <c r="F422" s="98"/>
      <c r="G422" s="98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35">
      <c r="A423" s="2"/>
      <c r="C423" s="2"/>
      <c r="D423" s="2"/>
      <c r="E423" s="2"/>
      <c r="F423" s="98"/>
      <c r="G423" s="98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35">
      <c r="A424" s="2"/>
      <c r="C424" s="2"/>
      <c r="D424" s="2"/>
      <c r="E424" s="2"/>
      <c r="F424" s="98"/>
      <c r="G424" s="98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35">
      <c r="A425" s="2"/>
      <c r="C425" s="2"/>
      <c r="D425" s="2"/>
      <c r="E425" s="2"/>
      <c r="F425" s="98"/>
      <c r="G425" s="98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35">
      <c r="A426" s="2"/>
      <c r="C426" s="2"/>
      <c r="D426" s="2"/>
      <c r="E426" s="2"/>
      <c r="F426" s="98"/>
      <c r="G426" s="98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35">
      <c r="A427" s="2"/>
      <c r="C427" s="2"/>
      <c r="D427" s="2"/>
      <c r="E427" s="2"/>
      <c r="F427" s="98"/>
      <c r="G427" s="98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35">
      <c r="A428" s="2"/>
      <c r="C428" s="2"/>
      <c r="D428" s="2"/>
      <c r="E428" s="2"/>
      <c r="F428" s="98"/>
      <c r="G428" s="98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35">
      <c r="A429" s="2"/>
      <c r="C429" s="2"/>
      <c r="D429" s="2"/>
      <c r="E429" s="2"/>
      <c r="F429" s="98"/>
      <c r="G429" s="98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35">
      <c r="A430" s="2"/>
      <c r="C430" s="2"/>
      <c r="D430" s="2"/>
      <c r="E430" s="2"/>
      <c r="F430" s="98"/>
      <c r="G430" s="98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35">
      <c r="A431" s="2"/>
      <c r="C431" s="2"/>
      <c r="D431" s="2"/>
      <c r="E431" s="2"/>
      <c r="F431" s="98"/>
      <c r="G431" s="98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35">
      <c r="A432" s="2"/>
      <c r="C432" s="2"/>
      <c r="D432" s="2"/>
      <c r="E432" s="2"/>
      <c r="F432" s="98"/>
      <c r="G432" s="98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35">
      <c r="A433" s="2"/>
      <c r="C433" s="2"/>
      <c r="D433" s="2"/>
      <c r="E433" s="2"/>
      <c r="F433" s="98"/>
      <c r="G433" s="98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35">
      <c r="A434" s="2"/>
      <c r="C434" s="2"/>
      <c r="D434" s="2"/>
      <c r="E434" s="2"/>
      <c r="F434" s="98"/>
      <c r="G434" s="98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35">
      <c r="A435" s="2"/>
      <c r="C435" s="2"/>
      <c r="D435" s="2"/>
      <c r="E435" s="2"/>
      <c r="F435" s="98"/>
      <c r="G435" s="98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35">
      <c r="A436" s="2"/>
      <c r="C436" s="2"/>
      <c r="D436" s="2"/>
      <c r="E436" s="2"/>
      <c r="F436" s="98"/>
      <c r="G436" s="98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35">
      <c r="A437" s="2"/>
      <c r="C437" s="2"/>
      <c r="D437" s="2"/>
      <c r="E437" s="2"/>
      <c r="F437" s="98"/>
      <c r="G437" s="98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35">
      <c r="A438" s="2"/>
      <c r="C438" s="2"/>
      <c r="D438" s="2"/>
      <c r="E438" s="2"/>
      <c r="F438" s="98"/>
      <c r="G438" s="98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35">
      <c r="A439" s="2"/>
      <c r="C439" s="2"/>
      <c r="D439" s="2"/>
      <c r="E439" s="2"/>
      <c r="F439" s="98"/>
      <c r="G439" s="98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35">
      <c r="A440" s="2"/>
      <c r="C440" s="2"/>
      <c r="D440" s="2"/>
      <c r="E440" s="2"/>
      <c r="F440" s="98"/>
      <c r="G440" s="98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35">
      <c r="A441" s="2"/>
      <c r="C441" s="2"/>
      <c r="D441" s="2"/>
      <c r="E441" s="2"/>
      <c r="F441" s="98"/>
      <c r="G441" s="98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35">
      <c r="A442" s="2"/>
      <c r="C442" s="2"/>
      <c r="D442" s="2"/>
      <c r="E442" s="2"/>
      <c r="F442" s="98"/>
      <c r="G442" s="98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35">
      <c r="A443" s="2"/>
      <c r="C443" s="2"/>
      <c r="D443" s="2"/>
      <c r="E443" s="2"/>
      <c r="F443" s="98"/>
      <c r="G443" s="98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35">
      <c r="A444" s="2"/>
      <c r="C444" s="2"/>
      <c r="D444" s="2"/>
      <c r="E444" s="2"/>
      <c r="F444" s="98"/>
      <c r="G444" s="98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35">
      <c r="A445" s="2"/>
      <c r="C445" s="2"/>
      <c r="D445" s="2"/>
      <c r="E445" s="2"/>
      <c r="F445" s="98"/>
      <c r="G445" s="98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35">
      <c r="A446" s="2"/>
      <c r="C446" s="2"/>
      <c r="D446" s="2"/>
      <c r="E446" s="2"/>
      <c r="F446" s="98"/>
      <c r="G446" s="98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35">
      <c r="A447" s="2"/>
      <c r="C447" s="2"/>
      <c r="D447" s="2"/>
      <c r="E447" s="2"/>
      <c r="F447" s="98"/>
      <c r="G447" s="98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35">
      <c r="A448" s="2"/>
      <c r="C448" s="2"/>
      <c r="D448" s="2"/>
      <c r="E448" s="2"/>
      <c r="F448" s="98"/>
      <c r="G448" s="98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35">
      <c r="A449" s="2"/>
      <c r="C449" s="2"/>
      <c r="D449" s="2"/>
      <c r="E449" s="2"/>
      <c r="F449" s="98"/>
      <c r="G449" s="98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35">
      <c r="A450" s="2"/>
      <c r="C450" s="2"/>
      <c r="D450" s="2"/>
      <c r="E450" s="2"/>
      <c r="F450" s="98"/>
      <c r="G450" s="98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35">
      <c r="A451" s="2"/>
      <c r="C451" s="2"/>
      <c r="D451" s="2"/>
      <c r="E451" s="2"/>
      <c r="F451" s="98"/>
      <c r="G451" s="98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35">
      <c r="A452" s="2"/>
      <c r="C452" s="2"/>
      <c r="D452" s="2"/>
      <c r="E452" s="2"/>
      <c r="F452" s="98"/>
      <c r="G452" s="98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35">
      <c r="A453" s="2"/>
      <c r="C453" s="2"/>
      <c r="D453" s="2"/>
      <c r="E453" s="2"/>
      <c r="F453" s="98"/>
      <c r="G453" s="98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35">
      <c r="A454" s="2"/>
      <c r="C454" s="2"/>
      <c r="D454" s="2"/>
      <c r="E454" s="2"/>
      <c r="F454" s="98"/>
      <c r="G454" s="98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35">
      <c r="A455" s="2"/>
      <c r="C455" s="2"/>
      <c r="D455" s="2"/>
      <c r="E455" s="2"/>
      <c r="F455" s="98"/>
      <c r="G455" s="98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35">
      <c r="A456" s="2"/>
      <c r="C456" s="2"/>
      <c r="D456" s="2"/>
      <c r="E456" s="2"/>
      <c r="F456" s="98"/>
      <c r="G456" s="98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35">
      <c r="A457" s="2"/>
      <c r="C457" s="2"/>
      <c r="D457" s="2"/>
      <c r="E457" s="2"/>
      <c r="F457" s="98"/>
      <c r="G457" s="98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35">
      <c r="A458" s="2"/>
      <c r="C458" s="2"/>
      <c r="D458" s="2"/>
      <c r="E458" s="2"/>
      <c r="F458" s="98"/>
      <c r="G458" s="98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35">
      <c r="A459" s="2"/>
      <c r="C459" s="2"/>
      <c r="D459" s="2"/>
      <c r="E459" s="2"/>
      <c r="F459" s="98"/>
      <c r="G459" s="98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35">
      <c r="A460" s="2"/>
      <c r="C460" s="2"/>
      <c r="D460" s="2"/>
      <c r="E460" s="2"/>
      <c r="F460" s="98"/>
      <c r="G460" s="98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35">
      <c r="A461" s="2"/>
      <c r="C461" s="2"/>
      <c r="D461" s="2"/>
      <c r="E461" s="2"/>
      <c r="F461" s="98"/>
      <c r="G461" s="98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35">
      <c r="A462" s="2"/>
      <c r="C462" s="2"/>
      <c r="D462" s="2"/>
      <c r="E462" s="2"/>
      <c r="F462" s="98"/>
      <c r="G462" s="98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35">
      <c r="A463" s="2"/>
      <c r="C463" s="2"/>
      <c r="D463" s="2"/>
      <c r="E463" s="2"/>
      <c r="F463" s="98"/>
      <c r="G463" s="98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35">
      <c r="A464" s="2"/>
      <c r="C464" s="2"/>
      <c r="D464" s="2"/>
      <c r="E464" s="2"/>
      <c r="F464" s="98"/>
      <c r="G464" s="98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35">
      <c r="A465" s="2"/>
      <c r="C465" s="2"/>
      <c r="D465" s="2"/>
      <c r="E465" s="2"/>
      <c r="F465" s="98"/>
      <c r="G465" s="98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35">
      <c r="A466" s="2"/>
      <c r="C466" s="2"/>
      <c r="D466" s="2"/>
      <c r="E466" s="2"/>
      <c r="F466" s="98"/>
      <c r="G466" s="98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35">
      <c r="A467" s="2"/>
      <c r="C467" s="2"/>
      <c r="D467" s="2"/>
      <c r="E467" s="2"/>
      <c r="F467" s="98"/>
      <c r="G467" s="98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35">
      <c r="A468" s="2"/>
      <c r="C468" s="2"/>
      <c r="D468" s="2"/>
      <c r="E468" s="2"/>
      <c r="F468" s="98"/>
      <c r="G468" s="98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35">
      <c r="A469" s="2"/>
      <c r="C469" s="2"/>
      <c r="D469" s="2"/>
      <c r="E469" s="2"/>
      <c r="F469" s="98"/>
      <c r="G469" s="98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35">
      <c r="A470" s="2"/>
      <c r="C470" s="2"/>
      <c r="D470" s="2"/>
      <c r="E470" s="2"/>
      <c r="F470" s="98"/>
      <c r="G470" s="98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35">
      <c r="A471" s="2"/>
      <c r="C471" s="2"/>
      <c r="D471" s="2"/>
      <c r="E471" s="2"/>
      <c r="F471" s="98"/>
      <c r="G471" s="98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35">
      <c r="A472" s="2"/>
      <c r="C472" s="2"/>
      <c r="D472" s="2"/>
      <c r="E472" s="2"/>
      <c r="F472" s="98"/>
      <c r="G472" s="98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35">
      <c r="A473" s="2"/>
      <c r="C473" s="2"/>
      <c r="D473" s="2"/>
      <c r="E473" s="2"/>
      <c r="F473" s="98"/>
      <c r="G473" s="98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35">
      <c r="A474" s="2"/>
      <c r="C474" s="2"/>
      <c r="D474" s="2"/>
      <c r="E474" s="2"/>
      <c r="F474" s="98"/>
      <c r="G474" s="98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35">
      <c r="A475" s="2"/>
      <c r="C475" s="2"/>
      <c r="D475" s="2"/>
      <c r="E475" s="2"/>
      <c r="F475" s="98"/>
      <c r="G475" s="98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35">
      <c r="A476" s="2"/>
      <c r="C476" s="2"/>
      <c r="D476" s="2"/>
      <c r="E476" s="2"/>
      <c r="F476" s="98"/>
      <c r="G476" s="98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35">
      <c r="A477" s="2"/>
      <c r="C477" s="2"/>
      <c r="D477" s="2"/>
      <c r="E477" s="2"/>
      <c r="F477" s="98"/>
      <c r="G477" s="98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35">
      <c r="A478" s="2"/>
      <c r="C478" s="2"/>
      <c r="D478" s="2"/>
      <c r="E478" s="2"/>
      <c r="F478" s="98"/>
      <c r="G478" s="98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35">
      <c r="A479" s="2"/>
      <c r="C479" s="2"/>
      <c r="D479" s="2"/>
      <c r="E479" s="2"/>
      <c r="F479" s="98"/>
      <c r="G479" s="98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35">
      <c r="A480" s="2"/>
      <c r="C480" s="2"/>
      <c r="D480" s="2"/>
      <c r="E480" s="2"/>
      <c r="F480" s="98"/>
      <c r="G480" s="98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35">
      <c r="A481" s="2"/>
      <c r="C481" s="2"/>
      <c r="D481" s="2"/>
      <c r="E481" s="2"/>
      <c r="F481" s="98"/>
      <c r="G481" s="98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35">
      <c r="A482" s="2"/>
      <c r="C482" s="2"/>
      <c r="D482" s="2"/>
      <c r="E482" s="2"/>
      <c r="F482" s="98"/>
      <c r="G482" s="98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35">
      <c r="A483" s="2"/>
      <c r="C483" s="2"/>
      <c r="D483" s="2"/>
      <c r="E483" s="2"/>
      <c r="F483" s="98"/>
      <c r="G483" s="98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35">
      <c r="A484" s="2"/>
      <c r="C484" s="2"/>
      <c r="D484" s="2"/>
      <c r="E484" s="2"/>
      <c r="F484" s="98"/>
      <c r="G484" s="98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35">
      <c r="A485" s="2"/>
      <c r="C485" s="2"/>
      <c r="D485" s="2"/>
      <c r="E485" s="2"/>
      <c r="F485" s="98"/>
      <c r="G485" s="98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35">
      <c r="A486" s="2"/>
      <c r="C486" s="2"/>
      <c r="D486" s="2"/>
      <c r="E486" s="2"/>
      <c r="F486" s="98"/>
      <c r="G486" s="98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35">
      <c r="A487" s="2"/>
      <c r="C487" s="2"/>
      <c r="D487" s="2"/>
      <c r="E487" s="2"/>
      <c r="F487" s="98"/>
      <c r="G487" s="98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35">
      <c r="A488" s="2"/>
      <c r="C488" s="2"/>
      <c r="D488" s="2"/>
      <c r="E488" s="2"/>
      <c r="F488" s="98"/>
      <c r="G488" s="98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35">
      <c r="A489" s="2"/>
      <c r="C489" s="2"/>
      <c r="D489" s="2"/>
      <c r="E489" s="2"/>
      <c r="F489" s="98"/>
      <c r="G489" s="98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35">
      <c r="A490" s="2"/>
      <c r="C490" s="2"/>
      <c r="D490" s="2"/>
      <c r="E490" s="2"/>
      <c r="F490" s="98"/>
      <c r="G490" s="98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35">
      <c r="A491" s="2"/>
      <c r="C491" s="2"/>
      <c r="D491" s="2"/>
      <c r="E491" s="2"/>
      <c r="F491" s="98"/>
      <c r="G491" s="98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35">
      <c r="A492" s="2"/>
      <c r="C492" s="2"/>
      <c r="D492" s="2"/>
      <c r="E492" s="2"/>
      <c r="F492" s="98"/>
      <c r="G492" s="98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35">
      <c r="A493" s="2"/>
      <c r="C493" s="2"/>
      <c r="D493" s="2"/>
      <c r="E493" s="2"/>
      <c r="F493" s="98"/>
      <c r="G493" s="98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35">
      <c r="A494" s="2"/>
      <c r="C494" s="2"/>
      <c r="D494" s="2"/>
      <c r="E494" s="2"/>
      <c r="F494" s="98"/>
      <c r="G494" s="98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35">
      <c r="A495" s="2"/>
      <c r="C495" s="2"/>
      <c r="D495" s="2"/>
      <c r="E495" s="2"/>
      <c r="F495" s="98"/>
      <c r="G495" s="98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35">
      <c r="A496" s="2"/>
      <c r="C496" s="2"/>
      <c r="D496" s="2"/>
      <c r="E496" s="2"/>
      <c r="F496" s="98"/>
      <c r="G496" s="98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35">
      <c r="A497" s="2"/>
      <c r="C497" s="2"/>
      <c r="D497" s="2"/>
      <c r="E497" s="2"/>
      <c r="F497" s="98"/>
      <c r="G497" s="98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35">
      <c r="A498" s="2"/>
      <c r="C498" s="2"/>
      <c r="D498" s="2"/>
      <c r="E498" s="2"/>
      <c r="F498" s="98"/>
      <c r="G498" s="98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35">
      <c r="A499" s="2"/>
      <c r="C499" s="2"/>
      <c r="D499" s="2"/>
      <c r="E499" s="2"/>
      <c r="F499" s="98"/>
      <c r="G499" s="98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35">
      <c r="A500" s="2"/>
      <c r="C500" s="2"/>
      <c r="D500" s="2"/>
      <c r="E500" s="2"/>
      <c r="F500" s="98"/>
      <c r="G500" s="98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35">
      <c r="A501" s="2"/>
      <c r="C501" s="2"/>
      <c r="D501" s="2"/>
      <c r="E501" s="2"/>
      <c r="F501" s="98"/>
      <c r="G501" s="98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35">
      <c r="A502" s="2"/>
      <c r="C502" s="2"/>
      <c r="D502" s="2"/>
      <c r="E502" s="2"/>
      <c r="F502" s="98"/>
      <c r="G502" s="98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35">
      <c r="A503" s="2"/>
      <c r="C503" s="2"/>
      <c r="D503" s="2"/>
      <c r="E503" s="2"/>
      <c r="F503" s="98"/>
      <c r="G503" s="98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35">
      <c r="A504" s="2"/>
      <c r="C504" s="2"/>
      <c r="D504" s="2"/>
      <c r="E504" s="2"/>
      <c r="F504" s="98"/>
      <c r="G504" s="98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35">
      <c r="A505" s="2"/>
      <c r="C505" s="2"/>
      <c r="D505" s="2"/>
      <c r="E505" s="2"/>
      <c r="F505" s="98"/>
      <c r="G505" s="98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35">
      <c r="A506" s="2"/>
      <c r="C506" s="2"/>
      <c r="D506" s="2"/>
      <c r="E506" s="2"/>
      <c r="F506" s="98"/>
      <c r="G506" s="98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35">
      <c r="A507" s="2"/>
      <c r="C507" s="2"/>
      <c r="D507" s="2"/>
      <c r="E507" s="2"/>
      <c r="F507" s="98"/>
      <c r="G507" s="98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35">
      <c r="A508" s="2"/>
      <c r="C508" s="2"/>
      <c r="D508" s="2"/>
      <c r="E508" s="2"/>
      <c r="F508" s="98"/>
      <c r="G508" s="98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35">
      <c r="A509" s="2"/>
      <c r="C509" s="2"/>
      <c r="D509" s="2"/>
      <c r="E509" s="2"/>
      <c r="F509" s="98"/>
      <c r="G509" s="98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35">
      <c r="A510" s="2"/>
      <c r="C510" s="2"/>
      <c r="D510" s="2"/>
      <c r="E510" s="2"/>
      <c r="F510" s="98"/>
      <c r="G510" s="98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35">
      <c r="A511" s="2"/>
      <c r="C511" s="2"/>
      <c r="D511" s="2"/>
      <c r="E511" s="2"/>
      <c r="F511" s="98"/>
      <c r="G511" s="98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35">
      <c r="A512" s="2"/>
      <c r="C512" s="2"/>
      <c r="D512" s="2"/>
      <c r="E512" s="2"/>
      <c r="F512" s="98"/>
      <c r="G512" s="98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35">
      <c r="A513" s="2"/>
      <c r="C513" s="2"/>
      <c r="D513" s="2"/>
      <c r="E513" s="2"/>
      <c r="F513" s="98"/>
      <c r="G513" s="98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35">
      <c r="A514" s="2"/>
      <c r="C514" s="2"/>
      <c r="D514" s="2"/>
      <c r="E514" s="2"/>
      <c r="F514" s="98"/>
      <c r="G514" s="98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35">
      <c r="A515" s="2"/>
      <c r="C515" s="2"/>
      <c r="D515" s="2"/>
      <c r="E515" s="2"/>
      <c r="F515" s="98"/>
      <c r="G515" s="98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35">
      <c r="A516" s="2"/>
      <c r="C516" s="2"/>
      <c r="D516" s="2"/>
      <c r="E516" s="2"/>
      <c r="F516" s="98"/>
      <c r="G516" s="98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35">
      <c r="A517" s="2"/>
      <c r="C517" s="2"/>
      <c r="D517" s="2"/>
      <c r="E517" s="2"/>
      <c r="F517" s="98"/>
      <c r="G517" s="98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35">
      <c r="A518" s="2"/>
      <c r="C518" s="2"/>
      <c r="D518" s="2"/>
      <c r="E518" s="2"/>
      <c r="F518" s="98"/>
      <c r="G518" s="98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35">
      <c r="A519" s="2"/>
      <c r="C519" s="2"/>
      <c r="D519" s="2"/>
      <c r="E519" s="2"/>
      <c r="F519" s="98"/>
      <c r="G519" s="98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35">
      <c r="A520" s="2"/>
      <c r="C520" s="2"/>
      <c r="D520" s="2"/>
      <c r="E520" s="2"/>
      <c r="F520" s="98"/>
      <c r="G520" s="98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35">
      <c r="A521" s="2"/>
      <c r="C521" s="2"/>
      <c r="D521" s="2"/>
      <c r="E521" s="2"/>
      <c r="F521" s="98"/>
      <c r="G521" s="98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35">
      <c r="A522" s="2"/>
      <c r="C522" s="2"/>
      <c r="D522" s="2"/>
      <c r="E522" s="2"/>
      <c r="F522" s="98"/>
      <c r="G522" s="98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35">
      <c r="A523" s="2"/>
      <c r="C523" s="2"/>
      <c r="D523" s="2"/>
      <c r="E523" s="2"/>
      <c r="F523" s="98"/>
      <c r="G523" s="98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35">
      <c r="A524" s="2"/>
      <c r="C524" s="2"/>
      <c r="D524" s="2"/>
      <c r="E524" s="2"/>
      <c r="F524" s="98"/>
      <c r="G524" s="98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35">
      <c r="A525" s="2"/>
      <c r="C525" s="2"/>
      <c r="D525" s="2"/>
      <c r="E525" s="2"/>
      <c r="F525" s="98"/>
      <c r="G525" s="98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35">
      <c r="A526" s="2"/>
      <c r="C526" s="2"/>
      <c r="D526" s="2"/>
      <c r="E526" s="2"/>
      <c r="F526" s="98"/>
      <c r="G526" s="98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35">
      <c r="A527" s="2"/>
      <c r="C527" s="2"/>
      <c r="D527" s="2"/>
      <c r="E527" s="2"/>
      <c r="F527" s="98"/>
      <c r="G527" s="98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35">
      <c r="A528" s="2"/>
      <c r="C528" s="2"/>
      <c r="D528" s="2"/>
      <c r="E528" s="2"/>
      <c r="F528" s="98"/>
      <c r="G528" s="98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35">
      <c r="A529" s="2"/>
      <c r="C529" s="2"/>
      <c r="D529" s="2"/>
      <c r="E529" s="2"/>
      <c r="F529" s="98"/>
      <c r="G529" s="98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35">
      <c r="A530" s="2"/>
      <c r="C530" s="2"/>
      <c r="D530" s="2"/>
      <c r="E530" s="2"/>
      <c r="F530" s="98"/>
      <c r="G530" s="98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35">
      <c r="A531" s="2"/>
      <c r="C531" s="2"/>
      <c r="D531" s="2"/>
      <c r="E531" s="2"/>
      <c r="F531" s="98"/>
      <c r="G531" s="98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35">
      <c r="A532" s="2"/>
      <c r="C532" s="2"/>
      <c r="D532" s="2"/>
      <c r="E532" s="2"/>
      <c r="F532" s="98"/>
      <c r="G532" s="98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35">
      <c r="A533" s="2"/>
      <c r="C533" s="2"/>
      <c r="D533" s="2"/>
      <c r="E533" s="2"/>
      <c r="F533" s="98"/>
      <c r="G533" s="98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35">
      <c r="A534" s="2"/>
      <c r="C534" s="2"/>
      <c r="D534" s="2"/>
      <c r="E534" s="2"/>
      <c r="F534" s="98"/>
      <c r="G534" s="98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35">
      <c r="A535" s="2"/>
      <c r="C535" s="2"/>
      <c r="D535" s="2"/>
      <c r="E535" s="2"/>
      <c r="F535" s="98"/>
      <c r="G535" s="98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35">
      <c r="A536" s="2"/>
      <c r="C536" s="2"/>
      <c r="D536" s="2"/>
      <c r="E536" s="2"/>
      <c r="F536" s="98"/>
      <c r="G536" s="98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35">
      <c r="A537" s="2"/>
      <c r="C537" s="2"/>
      <c r="D537" s="2"/>
      <c r="E537" s="2"/>
      <c r="F537" s="98"/>
      <c r="G537" s="98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35">
      <c r="A538" s="2"/>
      <c r="C538" s="2"/>
      <c r="D538" s="2"/>
      <c r="E538" s="2"/>
      <c r="F538" s="98"/>
      <c r="G538" s="98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35">
      <c r="A539" s="2"/>
      <c r="C539" s="2"/>
      <c r="D539" s="2"/>
      <c r="E539" s="2"/>
      <c r="F539" s="98"/>
      <c r="G539" s="98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35">
      <c r="A540" s="2"/>
      <c r="C540" s="2"/>
      <c r="D540" s="2"/>
      <c r="E540" s="2"/>
      <c r="F540" s="98"/>
      <c r="G540" s="98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35">
      <c r="A541" s="2"/>
      <c r="C541" s="2"/>
      <c r="D541" s="2"/>
      <c r="E541" s="2"/>
      <c r="F541" s="98"/>
      <c r="G541" s="98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35">
      <c r="A542" s="2"/>
      <c r="C542" s="2"/>
      <c r="D542" s="2"/>
      <c r="E542" s="2"/>
      <c r="F542" s="98"/>
      <c r="G542" s="98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35">
      <c r="A543" s="2"/>
      <c r="C543" s="2"/>
      <c r="D543" s="2"/>
      <c r="E543" s="2"/>
      <c r="F543" s="98"/>
      <c r="G543" s="98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35">
      <c r="A544" s="2"/>
      <c r="C544" s="2"/>
      <c r="D544" s="2"/>
      <c r="E544" s="2"/>
      <c r="F544" s="98"/>
      <c r="G544" s="98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35">
      <c r="A545" s="2"/>
      <c r="C545" s="2"/>
      <c r="D545" s="2"/>
      <c r="E545" s="2"/>
      <c r="F545" s="98"/>
      <c r="G545" s="98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35">
      <c r="A546" s="2"/>
      <c r="C546" s="2"/>
      <c r="D546" s="2"/>
      <c r="E546" s="2"/>
      <c r="F546" s="98"/>
      <c r="G546" s="98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35">
      <c r="A547" s="2"/>
      <c r="C547" s="2"/>
      <c r="D547" s="2"/>
      <c r="E547" s="2"/>
      <c r="F547" s="98"/>
      <c r="G547" s="98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35">
      <c r="A548" s="2"/>
      <c r="C548" s="2"/>
      <c r="D548" s="2"/>
      <c r="E548" s="2"/>
      <c r="F548" s="98"/>
      <c r="G548" s="98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35">
      <c r="A549" s="2"/>
      <c r="C549" s="2"/>
      <c r="D549" s="2"/>
      <c r="E549" s="2"/>
      <c r="F549" s="98"/>
      <c r="G549" s="98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35">
      <c r="A550" s="2"/>
      <c r="C550" s="2"/>
      <c r="D550" s="2"/>
      <c r="E550" s="2"/>
      <c r="F550" s="98"/>
      <c r="G550" s="98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35">
      <c r="A551" s="2"/>
      <c r="C551" s="2"/>
      <c r="D551" s="2"/>
      <c r="E551" s="2"/>
      <c r="F551" s="98"/>
      <c r="G551" s="98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35">
      <c r="A552" s="2"/>
      <c r="C552" s="2"/>
      <c r="D552" s="2"/>
      <c r="E552" s="2"/>
      <c r="F552" s="98"/>
      <c r="G552" s="98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35">
      <c r="A553" s="2"/>
      <c r="C553" s="2"/>
      <c r="D553" s="2"/>
      <c r="E553" s="2"/>
      <c r="F553" s="98"/>
      <c r="G553" s="98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35">
      <c r="A554" s="2"/>
      <c r="C554" s="2"/>
      <c r="D554" s="2"/>
      <c r="E554" s="2"/>
      <c r="F554" s="98"/>
      <c r="G554" s="98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35">
      <c r="A555" s="2"/>
      <c r="C555" s="2"/>
      <c r="D555" s="2"/>
      <c r="E555" s="2"/>
      <c r="F555" s="98"/>
      <c r="G555" s="98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35">
      <c r="A556" s="2"/>
      <c r="C556" s="2"/>
      <c r="D556" s="2"/>
      <c r="E556" s="2"/>
      <c r="F556" s="98"/>
      <c r="G556" s="98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35">
      <c r="A557" s="2"/>
      <c r="C557" s="2"/>
      <c r="D557" s="2"/>
      <c r="E557" s="2"/>
      <c r="F557" s="98"/>
      <c r="G557" s="98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35">
      <c r="A558" s="2"/>
      <c r="C558" s="2"/>
      <c r="D558" s="2"/>
      <c r="E558" s="2"/>
      <c r="F558" s="98"/>
      <c r="G558" s="98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35">
      <c r="A559" s="2"/>
      <c r="C559" s="2"/>
      <c r="D559" s="2"/>
      <c r="E559" s="2"/>
      <c r="F559" s="98"/>
      <c r="G559" s="98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35">
      <c r="A560" s="2"/>
      <c r="C560" s="2"/>
      <c r="D560" s="2"/>
      <c r="E560" s="2"/>
      <c r="F560" s="98"/>
      <c r="G560" s="98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35">
      <c r="A561" s="2"/>
      <c r="C561" s="2"/>
      <c r="D561" s="2"/>
      <c r="E561" s="2"/>
      <c r="F561" s="98"/>
      <c r="G561" s="98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35">
      <c r="A562" s="2"/>
      <c r="C562" s="2"/>
      <c r="D562" s="2"/>
      <c r="E562" s="2"/>
      <c r="F562" s="98"/>
      <c r="G562" s="98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35">
      <c r="A563" s="2"/>
      <c r="C563" s="2"/>
      <c r="D563" s="2"/>
      <c r="E563" s="2"/>
      <c r="F563" s="98"/>
      <c r="G563" s="98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35">
      <c r="A564" s="2"/>
      <c r="C564" s="2"/>
      <c r="D564" s="2"/>
      <c r="E564" s="2"/>
      <c r="F564" s="98"/>
      <c r="G564" s="98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35">
      <c r="A565" s="2"/>
      <c r="C565" s="2"/>
      <c r="D565" s="2"/>
      <c r="E565" s="2"/>
      <c r="F565" s="98"/>
      <c r="G565" s="98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35">
      <c r="A566" s="2"/>
      <c r="C566" s="2"/>
      <c r="D566" s="2"/>
      <c r="E566" s="2"/>
      <c r="F566" s="98"/>
      <c r="G566" s="98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35">
      <c r="A567" s="2"/>
      <c r="C567" s="2"/>
      <c r="D567" s="2"/>
      <c r="E567" s="2"/>
      <c r="F567" s="98"/>
      <c r="G567" s="98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35">
      <c r="A568" s="2"/>
      <c r="C568" s="2"/>
      <c r="D568" s="2"/>
      <c r="E568" s="2"/>
      <c r="F568" s="98"/>
      <c r="G568" s="98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35">
      <c r="A569" s="2"/>
      <c r="C569" s="2"/>
      <c r="D569" s="2"/>
      <c r="E569" s="2"/>
      <c r="F569" s="98"/>
      <c r="G569" s="98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35">
      <c r="A570" s="2"/>
      <c r="C570" s="2"/>
      <c r="D570" s="2"/>
      <c r="E570" s="2"/>
      <c r="F570" s="98"/>
      <c r="G570" s="98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35">
      <c r="A571" s="2"/>
      <c r="C571" s="2"/>
      <c r="D571" s="2"/>
      <c r="E571" s="2"/>
      <c r="F571" s="98"/>
      <c r="G571" s="98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35">
      <c r="A572" s="2"/>
      <c r="C572" s="2"/>
      <c r="D572" s="2"/>
      <c r="E572" s="2"/>
      <c r="F572" s="98"/>
      <c r="G572" s="98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35">
      <c r="A573" s="2"/>
      <c r="C573" s="2"/>
      <c r="D573" s="2"/>
      <c r="E573" s="2"/>
      <c r="F573" s="98"/>
      <c r="G573" s="98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35">
      <c r="A574" s="2"/>
      <c r="C574" s="2"/>
      <c r="D574" s="2"/>
      <c r="E574" s="2"/>
      <c r="F574" s="98"/>
      <c r="G574" s="98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35">
      <c r="A575" s="2"/>
      <c r="C575" s="2"/>
      <c r="D575" s="2"/>
      <c r="E575" s="2"/>
      <c r="F575" s="98"/>
      <c r="G575" s="98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35">
      <c r="A576" s="2"/>
      <c r="C576" s="2"/>
      <c r="D576" s="2"/>
      <c r="E576" s="2"/>
      <c r="F576" s="98"/>
      <c r="G576" s="98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35">
      <c r="A577" s="2"/>
      <c r="C577" s="2"/>
      <c r="D577" s="2"/>
      <c r="E577" s="2"/>
      <c r="F577" s="98"/>
      <c r="G577" s="98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35">
      <c r="A578" s="2"/>
      <c r="C578" s="2"/>
      <c r="D578" s="2"/>
      <c r="E578" s="2"/>
      <c r="F578" s="98"/>
      <c r="G578" s="98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35">
      <c r="A579" s="2"/>
      <c r="C579" s="2"/>
      <c r="D579" s="2"/>
      <c r="E579" s="2"/>
      <c r="F579" s="98"/>
      <c r="G579" s="98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35">
      <c r="A580" s="2"/>
      <c r="C580" s="2"/>
      <c r="D580" s="2"/>
      <c r="E580" s="2"/>
      <c r="F580" s="98"/>
      <c r="G580" s="98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35">
      <c r="A581" s="2"/>
      <c r="C581" s="2"/>
      <c r="D581" s="2"/>
      <c r="E581" s="2"/>
      <c r="F581" s="98"/>
      <c r="G581" s="98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35">
      <c r="A582" s="2"/>
      <c r="C582" s="2"/>
      <c r="D582" s="2"/>
      <c r="E582" s="2"/>
      <c r="F582" s="98"/>
      <c r="G582" s="98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35">
      <c r="A583" s="2"/>
      <c r="C583" s="2"/>
      <c r="D583" s="2"/>
      <c r="E583" s="2"/>
      <c r="F583" s="98"/>
      <c r="G583" s="98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35">
      <c r="A584" s="2"/>
      <c r="C584" s="2"/>
      <c r="D584" s="2"/>
      <c r="E584" s="2"/>
      <c r="F584" s="98"/>
      <c r="G584" s="98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35">
      <c r="A585" s="2"/>
      <c r="C585" s="2"/>
      <c r="D585" s="2"/>
      <c r="E585" s="2"/>
      <c r="F585" s="98"/>
      <c r="G585" s="98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35">
      <c r="A586" s="2"/>
      <c r="C586" s="2"/>
      <c r="D586" s="2"/>
      <c r="E586" s="2"/>
      <c r="F586" s="98"/>
      <c r="G586" s="98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35">
      <c r="A587" s="2"/>
      <c r="C587" s="2"/>
      <c r="D587" s="2"/>
      <c r="E587" s="2"/>
      <c r="F587" s="98"/>
      <c r="G587" s="98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35">
      <c r="A588" s="2"/>
      <c r="C588" s="2"/>
      <c r="D588" s="2"/>
      <c r="E588" s="2"/>
      <c r="F588" s="98"/>
      <c r="G588" s="98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35">
      <c r="A589" s="2"/>
      <c r="C589" s="2"/>
      <c r="D589" s="2"/>
      <c r="E589" s="2"/>
      <c r="F589" s="98"/>
      <c r="G589" s="98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35">
      <c r="A590" s="2"/>
      <c r="C590" s="2"/>
      <c r="D590" s="2"/>
      <c r="E590" s="2"/>
      <c r="F590" s="98"/>
      <c r="G590" s="98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35">
      <c r="A591" s="2"/>
      <c r="C591" s="2"/>
      <c r="D591" s="2"/>
      <c r="E591" s="2"/>
      <c r="F591" s="98"/>
      <c r="G591" s="98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35">
      <c r="A592" s="2"/>
      <c r="C592" s="2"/>
      <c r="D592" s="2"/>
      <c r="E592" s="2"/>
      <c r="F592" s="98"/>
      <c r="G592" s="98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35">
      <c r="A593" s="2"/>
      <c r="C593" s="2"/>
      <c r="D593" s="2"/>
      <c r="E593" s="2"/>
      <c r="F593" s="98"/>
      <c r="G593" s="98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35">
      <c r="A594" s="2"/>
      <c r="C594" s="2"/>
      <c r="D594" s="2"/>
      <c r="E594" s="2"/>
      <c r="F594" s="98"/>
      <c r="G594" s="98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35">
      <c r="A595" s="2"/>
      <c r="C595" s="2"/>
      <c r="D595" s="2"/>
      <c r="E595" s="2"/>
      <c r="F595" s="98"/>
      <c r="G595" s="98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35">
      <c r="A596" s="2"/>
      <c r="C596" s="2"/>
      <c r="D596" s="2"/>
      <c r="E596" s="2"/>
      <c r="F596" s="98"/>
      <c r="G596" s="98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35">
      <c r="A597" s="2"/>
      <c r="C597" s="2"/>
      <c r="D597" s="2"/>
      <c r="E597" s="2"/>
      <c r="F597" s="98"/>
      <c r="G597" s="98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35">
      <c r="A598" s="2"/>
      <c r="C598" s="2"/>
      <c r="D598" s="2"/>
      <c r="E598" s="2"/>
      <c r="F598" s="98"/>
      <c r="G598" s="98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35">
      <c r="A599" s="2"/>
      <c r="C599" s="2"/>
      <c r="D599" s="2"/>
      <c r="E599" s="2"/>
      <c r="F599" s="98"/>
      <c r="G599" s="98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35">
      <c r="A600" s="2"/>
      <c r="C600" s="2"/>
      <c r="D600" s="2"/>
      <c r="E600" s="2"/>
      <c r="F600" s="98"/>
      <c r="G600" s="98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35">
      <c r="A601" s="2"/>
      <c r="C601" s="2"/>
      <c r="D601" s="2"/>
      <c r="E601" s="2"/>
      <c r="F601" s="98"/>
      <c r="G601" s="98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35">
      <c r="A602" s="2"/>
      <c r="C602" s="2"/>
      <c r="D602" s="2"/>
      <c r="E602" s="2"/>
      <c r="F602" s="98"/>
      <c r="G602" s="98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35">
      <c r="A603" s="2"/>
      <c r="C603" s="2"/>
      <c r="D603" s="2"/>
      <c r="E603" s="2"/>
      <c r="F603" s="98"/>
      <c r="G603" s="98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35">
      <c r="A604" s="2"/>
      <c r="C604" s="2"/>
      <c r="D604" s="2"/>
      <c r="E604" s="2"/>
      <c r="F604" s="98"/>
      <c r="G604" s="98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35">
      <c r="A605" s="2"/>
      <c r="C605" s="2"/>
      <c r="D605" s="2"/>
      <c r="E605" s="2"/>
      <c r="F605" s="98"/>
      <c r="G605" s="98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35">
      <c r="A606" s="2"/>
      <c r="C606" s="2"/>
      <c r="D606" s="2"/>
      <c r="E606" s="2"/>
      <c r="F606" s="98"/>
      <c r="G606" s="98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35">
      <c r="A607" s="2"/>
      <c r="C607" s="2"/>
      <c r="D607" s="2"/>
      <c r="E607" s="2"/>
      <c r="F607" s="98"/>
      <c r="G607" s="98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35">
      <c r="A608" s="2"/>
      <c r="C608" s="2"/>
      <c r="D608" s="2"/>
      <c r="E608" s="2"/>
      <c r="F608" s="98"/>
      <c r="G608" s="98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35">
      <c r="A609" s="2"/>
      <c r="C609" s="2"/>
      <c r="D609" s="2"/>
      <c r="E609" s="2"/>
      <c r="F609" s="98"/>
      <c r="G609" s="98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35">
      <c r="A610" s="2"/>
      <c r="C610" s="2"/>
      <c r="D610" s="2"/>
      <c r="E610" s="2"/>
      <c r="F610" s="98"/>
      <c r="G610" s="98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35">
      <c r="A611" s="2"/>
      <c r="C611" s="2"/>
      <c r="D611" s="2"/>
      <c r="E611" s="2"/>
      <c r="F611" s="98"/>
      <c r="G611" s="98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35">
      <c r="A612" s="2"/>
      <c r="C612" s="2"/>
      <c r="D612" s="2"/>
      <c r="E612" s="2"/>
      <c r="F612" s="98"/>
      <c r="G612" s="98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35">
      <c r="A613" s="2"/>
      <c r="C613" s="2"/>
      <c r="D613" s="2"/>
      <c r="E613" s="2"/>
      <c r="F613" s="98"/>
      <c r="G613" s="98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35">
      <c r="A614" s="2"/>
      <c r="C614" s="2"/>
      <c r="D614" s="2"/>
      <c r="E614" s="2"/>
      <c r="F614" s="98"/>
      <c r="G614" s="98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35">
      <c r="A615" s="2"/>
      <c r="C615" s="2"/>
      <c r="D615" s="2"/>
      <c r="E615" s="2"/>
      <c r="F615" s="98"/>
      <c r="G615" s="98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35">
      <c r="A616" s="2"/>
      <c r="C616" s="2"/>
      <c r="D616" s="2"/>
      <c r="E616" s="2"/>
      <c r="F616" s="98"/>
      <c r="G616" s="98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35">
      <c r="A617" s="2"/>
      <c r="C617" s="2"/>
      <c r="D617" s="2"/>
      <c r="E617" s="2"/>
      <c r="F617" s="98"/>
      <c r="G617" s="98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35">
      <c r="A618" s="2"/>
      <c r="C618" s="2"/>
      <c r="D618" s="2"/>
      <c r="E618" s="2"/>
      <c r="F618" s="98"/>
      <c r="G618" s="98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35">
      <c r="A619" s="2"/>
      <c r="C619" s="2"/>
      <c r="D619" s="2"/>
      <c r="E619" s="2"/>
      <c r="F619" s="98"/>
      <c r="G619" s="98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35">
      <c r="A620" s="2"/>
      <c r="C620" s="2"/>
      <c r="D620" s="2"/>
      <c r="E620" s="2"/>
      <c r="F620" s="98"/>
      <c r="G620" s="98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35">
      <c r="A621" s="2"/>
      <c r="C621" s="2"/>
      <c r="D621" s="2"/>
      <c r="E621" s="2"/>
      <c r="F621" s="98"/>
      <c r="G621" s="98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35">
      <c r="A622" s="2"/>
      <c r="C622" s="2"/>
      <c r="D622" s="2"/>
      <c r="E622" s="2"/>
      <c r="F622" s="98"/>
      <c r="G622" s="98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35">
      <c r="A623" s="2"/>
      <c r="C623" s="2"/>
      <c r="D623" s="2"/>
      <c r="E623" s="2"/>
      <c r="F623" s="98"/>
      <c r="G623" s="98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35">
      <c r="A624" s="2"/>
      <c r="C624" s="2"/>
      <c r="D624" s="2"/>
      <c r="E624" s="2"/>
      <c r="F624" s="98"/>
      <c r="G624" s="98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35">
      <c r="A625" s="2"/>
      <c r="C625" s="2"/>
      <c r="D625" s="2"/>
      <c r="E625" s="2"/>
      <c r="F625" s="98"/>
      <c r="G625" s="98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35">
      <c r="A626" s="2"/>
      <c r="C626" s="2"/>
      <c r="D626" s="2"/>
      <c r="E626" s="2"/>
      <c r="F626" s="98"/>
      <c r="G626" s="98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35">
      <c r="A627" s="2"/>
      <c r="C627" s="2"/>
      <c r="D627" s="2"/>
      <c r="E627" s="2"/>
      <c r="F627" s="98"/>
      <c r="G627" s="98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35">
      <c r="A628" s="2"/>
      <c r="C628" s="2"/>
      <c r="D628" s="2"/>
      <c r="E628" s="2"/>
      <c r="F628" s="98"/>
      <c r="G628" s="98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35">
      <c r="A629" s="2"/>
      <c r="C629" s="2"/>
      <c r="D629" s="2"/>
      <c r="E629" s="2"/>
      <c r="F629" s="98"/>
      <c r="G629" s="98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35">
      <c r="A630" s="2"/>
      <c r="C630" s="2"/>
      <c r="D630" s="2"/>
      <c r="E630" s="2"/>
      <c r="F630" s="98"/>
      <c r="G630" s="98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35">
      <c r="A631" s="2"/>
      <c r="C631" s="2"/>
      <c r="D631" s="2"/>
      <c r="E631" s="2"/>
      <c r="F631" s="98"/>
      <c r="G631" s="98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35">
      <c r="A632" s="2"/>
      <c r="C632" s="2"/>
      <c r="D632" s="2"/>
      <c r="E632" s="2"/>
      <c r="F632" s="98"/>
      <c r="G632" s="98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35">
      <c r="A633" s="2"/>
      <c r="C633" s="2"/>
      <c r="D633" s="2"/>
      <c r="E633" s="2"/>
      <c r="F633" s="98"/>
      <c r="G633" s="98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35">
      <c r="A634" s="2"/>
      <c r="C634" s="2"/>
      <c r="D634" s="2"/>
      <c r="E634" s="2"/>
      <c r="F634" s="98"/>
      <c r="G634" s="98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35">
      <c r="A635" s="2"/>
      <c r="C635" s="2"/>
      <c r="D635" s="2"/>
      <c r="E635" s="2"/>
      <c r="F635" s="98"/>
      <c r="G635" s="98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35">
      <c r="A636" s="2"/>
      <c r="C636" s="2"/>
      <c r="D636" s="2"/>
      <c r="E636" s="2"/>
      <c r="F636" s="98"/>
      <c r="G636" s="98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35">
      <c r="A637" s="2"/>
      <c r="C637" s="2"/>
      <c r="D637" s="2"/>
      <c r="E637" s="2"/>
      <c r="F637" s="98"/>
      <c r="G637" s="98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35">
      <c r="A638" s="2"/>
      <c r="C638" s="2"/>
      <c r="D638" s="2"/>
      <c r="E638" s="2"/>
      <c r="F638" s="98"/>
      <c r="G638" s="98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35">
      <c r="A639" s="2"/>
      <c r="C639" s="2"/>
      <c r="D639" s="2"/>
      <c r="E639" s="2"/>
      <c r="F639" s="98"/>
      <c r="G639" s="98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35">
      <c r="A640" s="2"/>
      <c r="C640" s="2"/>
      <c r="D640" s="2"/>
      <c r="E640" s="2"/>
      <c r="F640" s="98"/>
      <c r="G640" s="98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35">
      <c r="A641" s="2"/>
      <c r="C641" s="2"/>
      <c r="D641" s="2"/>
      <c r="E641" s="2"/>
      <c r="F641" s="98"/>
      <c r="G641" s="98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35">
      <c r="A642" s="2"/>
      <c r="C642" s="2"/>
      <c r="D642" s="2"/>
      <c r="E642" s="2"/>
      <c r="F642" s="98"/>
      <c r="G642" s="98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35">
      <c r="A643" s="2"/>
      <c r="C643" s="2"/>
      <c r="D643" s="2"/>
      <c r="E643" s="2"/>
      <c r="F643" s="98"/>
      <c r="G643" s="98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35">
      <c r="A644" s="2"/>
      <c r="C644" s="2"/>
      <c r="D644" s="2"/>
      <c r="E644" s="2"/>
      <c r="F644" s="98"/>
      <c r="G644" s="98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35">
      <c r="A645" s="2"/>
      <c r="C645" s="2"/>
      <c r="D645" s="2"/>
      <c r="E645" s="2"/>
      <c r="F645" s="98"/>
      <c r="G645" s="98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35">
      <c r="A646" s="2"/>
      <c r="C646" s="2"/>
      <c r="D646" s="2"/>
      <c r="E646" s="2"/>
      <c r="F646" s="98"/>
      <c r="G646" s="98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35">
      <c r="A647" s="2"/>
      <c r="C647" s="2"/>
      <c r="D647" s="2"/>
      <c r="E647" s="2"/>
      <c r="F647" s="98"/>
      <c r="G647" s="98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35">
      <c r="A648" s="2"/>
      <c r="C648" s="2"/>
      <c r="D648" s="2"/>
      <c r="E648" s="2"/>
      <c r="F648" s="98"/>
      <c r="G648" s="98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35">
      <c r="A649" s="2"/>
      <c r="C649" s="2"/>
      <c r="D649" s="2"/>
      <c r="E649" s="2"/>
      <c r="F649" s="98"/>
      <c r="G649" s="98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35">
      <c r="A650" s="2"/>
      <c r="C650" s="2"/>
      <c r="D650" s="2"/>
      <c r="E650" s="2"/>
      <c r="F650" s="98"/>
      <c r="G650" s="98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35">
      <c r="A651" s="2"/>
      <c r="C651" s="2"/>
      <c r="D651" s="2"/>
      <c r="E651" s="2"/>
      <c r="F651" s="98"/>
      <c r="G651" s="98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35">
      <c r="A652" s="2"/>
      <c r="C652" s="2"/>
      <c r="D652" s="2"/>
      <c r="E652" s="2"/>
      <c r="F652" s="98"/>
      <c r="G652" s="98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35">
      <c r="A653" s="2"/>
      <c r="C653" s="2"/>
      <c r="D653" s="2"/>
      <c r="E653" s="2"/>
      <c r="F653" s="98"/>
      <c r="G653" s="98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35">
      <c r="A654" s="2"/>
      <c r="C654" s="2"/>
      <c r="D654" s="2"/>
      <c r="E654" s="2"/>
      <c r="F654" s="98"/>
      <c r="G654" s="98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35">
      <c r="A655" s="2"/>
      <c r="C655" s="2"/>
      <c r="D655" s="2"/>
      <c r="E655" s="2"/>
      <c r="F655" s="98"/>
      <c r="G655" s="98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35">
      <c r="A656" s="2"/>
      <c r="C656" s="2"/>
      <c r="D656" s="2"/>
      <c r="E656" s="2"/>
      <c r="F656" s="98"/>
      <c r="G656" s="98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35">
      <c r="A657" s="2"/>
      <c r="C657" s="2"/>
      <c r="D657" s="2"/>
      <c r="E657" s="2"/>
      <c r="F657" s="98"/>
      <c r="G657" s="98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35">
      <c r="A658" s="2"/>
      <c r="C658" s="2"/>
      <c r="D658" s="2"/>
      <c r="E658" s="2"/>
      <c r="F658" s="98"/>
      <c r="G658" s="98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35">
      <c r="A659" s="2"/>
      <c r="C659" s="2"/>
      <c r="D659" s="2"/>
      <c r="E659" s="2"/>
      <c r="F659" s="98"/>
      <c r="G659" s="98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35">
      <c r="A660" s="2"/>
      <c r="C660" s="2"/>
      <c r="D660" s="2"/>
      <c r="E660" s="2"/>
      <c r="F660" s="98"/>
      <c r="G660" s="98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35">
      <c r="A661" s="2"/>
      <c r="C661" s="2"/>
      <c r="D661" s="2"/>
      <c r="E661" s="2"/>
      <c r="F661" s="98"/>
      <c r="G661" s="98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35">
      <c r="A662" s="2"/>
      <c r="C662" s="2"/>
      <c r="D662" s="2"/>
      <c r="E662" s="2"/>
      <c r="F662" s="98"/>
      <c r="G662" s="98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35">
      <c r="A663" s="2"/>
      <c r="C663" s="2"/>
      <c r="D663" s="2"/>
      <c r="E663" s="2"/>
      <c r="F663" s="98"/>
      <c r="G663" s="98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35">
      <c r="A664" s="2"/>
      <c r="C664" s="2"/>
      <c r="D664" s="2"/>
      <c r="E664" s="2"/>
      <c r="F664" s="98"/>
      <c r="G664" s="98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35">
      <c r="A665" s="2"/>
      <c r="C665" s="2"/>
      <c r="D665" s="2"/>
      <c r="E665" s="2"/>
      <c r="F665" s="98"/>
      <c r="G665" s="98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35">
      <c r="A666" s="2"/>
      <c r="C666" s="2"/>
      <c r="D666" s="2"/>
      <c r="E666" s="2"/>
      <c r="F666" s="98"/>
      <c r="G666" s="98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35">
      <c r="A667" s="2"/>
      <c r="C667" s="2"/>
      <c r="D667" s="2"/>
      <c r="E667" s="2"/>
      <c r="F667" s="98"/>
      <c r="G667" s="98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35">
      <c r="A668" s="2"/>
      <c r="C668" s="2"/>
      <c r="D668" s="2"/>
      <c r="E668" s="2"/>
      <c r="F668" s="98"/>
      <c r="G668" s="98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35">
      <c r="A669" s="2"/>
      <c r="C669" s="2"/>
      <c r="D669" s="2"/>
      <c r="E669" s="2"/>
      <c r="F669" s="98"/>
      <c r="G669" s="98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35">
      <c r="A670" s="2"/>
      <c r="C670" s="2"/>
      <c r="D670" s="2"/>
      <c r="E670" s="2"/>
      <c r="F670" s="98"/>
      <c r="G670" s="98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35">
      <c r="A671" s="2"/>
      <c r="C671" s="2"/>
      <c r="D671" s="2"/>
      <c r="E671" s="2"/>
      <c r="F671" s="98"/>
      <c r="G671" s="98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35">
      <c r="A672" s="2"/>
      <c r="C672" s="2"/>
      <c r="D672" s="2"/>
      <c r="E672" s="2"/>
      <c r="F672" s="98"/>
      <c r="G672" s="98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35">
      <c r="A673" s="2"/>
      <c r="C673" s="2"/>
      <c r="D673" s="2"/>
      <c r="E673" s="2"/>
      <c r="F673" s="98"/>
      <c r="G673" s="98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35">
      <c r="A674" s="2"/>
      <c r="C674" s="2"/>
      <c r="D674" s="2"/>
      <c r="E674" s="2"/>
      <c r="F674" s="98"/>
      <c r="G674" s="98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35">
      <c r="A675" s="2"/>
      <c r="C675" s="2"/>
      <c r="D675" s="2"/>
      <c r="E675" s="2"/>
      <c r="F675" s="98"/>
      <c r="G675" s="98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35">
      <c r="A676" s="2"/>
      <c r="C676" s="2"/>
      <c r="D676" s="2"/>
      <c r="E676" s="2"/>
      <c r="F676" s="98"/>
      <c r="G676" s="98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35">
      <c r="A677" s="2"/>
      <c r="C677" s="2"/>
      <c r="D677" s="2"/>
      <c r="E677" s="2"/>
      <c r="F677" s="98"/>
      <c r="G677" s="98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35">
      <c r="A678" s="2"/>
      <c r="C678" s="2"/>
      <c r="D678" s="2"/>
      <c r="E678" s="2"/>
      <c r="F678" s="98"/>
      <c r="G678" s="98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35">
      <c r="A679" s="2"/>
      <c r="C679" s="2"/>
      <c r="D679" s="2"/>
      <c r="E679" s="2"/>
      <c r="F679" s="98"/>
      <c r="G679" s="98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35">
      <c r="A680" s="2"/>
      <c r="C680" s="2"/>
      <c r="D680" s="2"/>
      <c r="E680" s="2"/>
      <c r="F680" s="98"/>
      <c r="G680" s="98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35">
      <c r="A681" s="2"/>
      <c r="C681" s="2"/>
      <c r="D681" s="2"/>
      <c r="E681" s="2"/>
      <c r="F681" s="98"/>
      <c r="G681" s="98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35">
      <c r="A682" s="2"/>
      <c r="C682" s="2"/>
      <c r="D682" s="2"/>
      <c r="E682" s="2"/>
      <c r="F682" s="98"/>
      <c r="G682" s="98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35">
      <c r="A683" s="2"/>
      <c r="C683" s="2"/>
      <c r="D683" s="2"/>
      <c r="E683" s="2"/>
      <c r="F683" s="98"/>
      <c r="G683" s="98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35">
      <c r="A684" s="2"/>
      <c r="C684" s="2"/>
      <c r="D684" s="2"/>
      <c r="E684" s="2"/>
      <c r="F684" s="98"/>
      <c r="G684" s="98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35">
      <c r="A685" s="2"/>
      <c r="C685" s="2"/>
      <c r="D685" s="2"/>
      <c r="E685" s="2"/>
      <c r="F685" s="98"/>
      <c r="G685" s="98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35">
      <c r="A686" s="2"/>
      <c r="C686" s="2"/>
      <c r="D686" s="2"/>
      <c r="E686" s="2"/>
      <c r="F686" s="98"/>
      <c r="G686" s="98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35">
      <c r="A687" s="2"/>
      <c r="C687" s="2"/>
      <c r="D687" s="2"/>
      <c r="E687" s="2"/>
      <c r="F687" s="98"/>
      <c r="G687" s="98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35">
      <c r="A688" s="2"/>
      <c r="C688" s="2"/>
      <c r="D688" s="2"/>
      <c r="E688" s="2"/>
      <c r="F688" s="98"/>
      <c r="G688" s="98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35">
      <c r="A689" s="2"/>
      <c r="C689" s="2"/>
      <c r="D689" s="2"/>
      <c r="E689" s="2"/>
      <c r="F689" s="98"/>
      <c r="G689" s="98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35">
      <c r="A690" s="2"/>
      <c r="C690" s="2"/>
      <c r="D690" s="2"/>
      <c r="E690" s="2"/>
      <c r="F690" s="98"/>
      <c r="G690" s="98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35">
      <c r="A691" s="2"/>
      <c r="C691" s="2"/>
      <c r="D691" s="2"/>
      <c r="E691" s="2"/>
      <c r="F691" s="98"/>
      <c r="G691" s="98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35">
      <c r="A692" s="2"/>
      <c r="C692" s="2"/>
      <c r="D692" s="2"/>
      <c r="E692" s="2"/>
      <c r="F692" s="98"/>
      <c r="G692" s="98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35">
      <c r="A693" s="2"/>
      <c r="C693" s="2"/>
      <c r="D693" s="2"/>
      <c r="E693" s="2"/>
      <c r="F693" s="98"/>
      <c r="G693" s="98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35">
      <c r="A694" s="2"/>
      <c r="C694" s="2"/>
      <c r="D694" s="2"/>
      <c r="E694" s="2"/>
      <c r="F694" s="98"/>
      <c r="G694" s="98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35">
      <c r="A695" s="2"/>
      <c r="C695" s="2"/>
      <c r="D695" s="2"/>
      <c r="E695" s="2"/>
      <c r="F695" s="98"/>
      <c r="G695" s="98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35">
      <c r="A696" s="2"/>
      <c r="C696" s="2"/>
      <c r="D696" s="2"/>
      <c r="E696" s="2"/>
      <c r="F696" s="98"/>
      <c r="G696" s="98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35">
      <c r="A697" s="2"/>
      <c r="C697" s="2"/>
      <c r="D697" s="2"/>
      <c r="E697" s="2"/>
      <c r="F697" s="98"/>
      <c r="G697" s="98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35">
      <c r="A698" s="2"/>
      <c r="C698" s="2"/>
      <c r="D698" s="2"/>
      <c r="E698" s="2"/>
      <c r="F698" s="98"/>
      <c r="G698" s="98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35">
      <c r="A699" s="2"/>
      <c r="C699" s="2"/>
      <c r="D699" s="2"/>
      <c r="E699" s="2"/>
      <c r="F699" s="98"/>
      <c r="G699" s="98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35">
      <c r="A700" s="2"/>
      <c r="C700" s="2"/>
      <c r="D700" s="2"/>
      <c r="E700" s="2"/>
      <c r="F700" s="98"/>
      <c r="G700" s="98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35">
      <c r="A701" s="2"/>
      <c r="C701" s="2"/>
      <c r="D701" s="2"/>
      <c r="E701" s="2"/>
      <c r="F701" s="98"/>
      <c r="G701" s="98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35">
      <c r="A702" s="2"/>
      <c r="C702" s="2"/>
      <c r="D702" s="2"/>
      <c r="E702" s="2"/>
      <c r="F702" s="98"/>
      <c r="G702" s="98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35">
      <c r="A703" s="2"/>
      <c r="C703" s="2"/>
      <c r="D703" s="2"/>
      <c r="E703" s="2"/>
      <c r="F703" s="98"/>
      <c r="G703" s="98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35">
      <c r="A704" s="2"/>
      <c r="C704" s="2"/>
      <c r="D704" s="2"/>
      <c r="E704" s="2"/>
      <c r="F704" s="98"/>
      <c r="G704" s="98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35">
      <c r="A705" s="2"/>
      <c r="C705" s="2"/>
      <c r="D705" s="2"/>
      <c r="E705" s="2"/>
      <c r="F705" s="98"/>
      <c r="G705" s="98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35">
      <c r="A706" s="2"/>
      <c r="C706" s="2"/>
      <c r="D706" s="2"/>
      <c r="E706" s="2"/>
      <c r="F706" s="98"/>
      <c r="G706" s="98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35">
      <c r="A707" s="2"/>
      <c r="C707" s="2"/>
      <c r="D707" s="2"/>
      <c r="E707" s="2"/>
      <c r="F707" s="98"/>
      <c r="G707" s="98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35">
      <c r="A708" s="2"/>
      <c r="C708" s="2"/>
      <c r="D708" s="2"/>
      <c r="E708" s="2"/>
      <c r="F708" s="98"/>
      <c r="G708" s="98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35">
      <c r="A709" s="2"/>
      <c r="C709" s="2"/>
      <c r="D709" s="2"/>
      <c r="E709" s="2"/>
      <c r="F709" s="98"/>
      <c r="G709" s="98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35">
      <c r="A710" s="2"/>
      <c r="C710" s="2"/>
      <c r="D710" s="2"/>
      <c r="E710" s="2"/>
      <c r="F710" s="98"/>
      <c r="G710" s="98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35">
      <c r="A711" s="2"/>
      <c r="C711" s="2"/>
      <c r="D711" s="2"/>
      <c r="E711" s="2"/>
      <c r="F711" s="98"/>
      <c r="G711" s="98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35">
      <c r="A712" s="2"/>
      <c r="C712" s="2"/>
      <c r="D712" s="2"/>
      <c r="E712" s="2"/>
      <c r="F712" s="98"/>
      <c r="G712" s="98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35">
      <c r="A713" s="2"/>
      <c r="C713" s="2"/>
      <c r="D713" s="2"/>
      <c r="E713" s="2"/>
      <c r="F713" s="98"/>
      <c r="G713" s="98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35">
      <c r="A714" s="2"/>
      <c r="C714" s="2"/>
      <c r="D714" s="2"/>
      <c r="E714" s="2"/>
      <c r="F714" s="98"/>
      <c r="G714" s="98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35">
      <c r="A715" s="2"/>
      <c r="C715" s="2"/>
      <c r="D715" s="2"/>
      <c r="E715" s="2"/>
      <c r="F715" s="98"/>
      <c r="G715" s="98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35">
      <c r="A716" s="2"/>
      <c r="C716" s="2"/>
      <c r="D716" s="2"/>
      <c r="E716" s="2"/>
      <c r="F716" s="98"/>
      <c r="G716" s="98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35">
      <c r="A717" s="2"/>
      <c r="C717" s="2"/>
      <c r="D717" s="2"/>
      <c r="E717" s="2"/>
      <c r="F717" s="98"/>
      <c r="G717" s="98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35">
      <c r="A718" s="2"/>
      <c r="C718" s="2"/>
      <c r="D718" s="2"/>
      <c r="E718" s="2"/>
      <c r="F718" s="98"/>
      <c r="G718" s="98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35">
      <c r="A719" s="2"/>
      <c r="C719" s="2"/>
      <c r="D719" s="2"/>
      <c r="E719" s="2"/>
      <c r="F719" s="98"/>
      <c r="G719" s="98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35">
      <c r="A720" s="2"/>
      <c r="C720" s="2"/>
      <c r="D720" s="2"/>
      <c r="E720" s="2"/>
      <c r="F720" s="98"/>
      <c r="G720" s="98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35">
      <c r="A721" s="2"/>
      <c r="C721" s="2"/>
      <c r="D721" s="2"/>
      <c r="E721" s="2"/>
      <c r="F721" s="98"/>
      <c r="G721" s="98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35">
      <c r="A722" s="2"/>
      <c r="C722" s="2"/>
      <c r="D722" s="2"/>
      <c r="E722" s="2"/>
      <c r="F722" s="98"/>
      <c r="G722" s="98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35">
      <c r="A723" s="2"/>
      <c r="C723" s="2"/>
      <c r="D723" s="2"/>
      <c r="E723" s="2"/>
      <c r="F723" s="98"/>
      <c r="G723" s="98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35">
      <c r="A724" s="2"/>
      <c r="C724" s="2"/>
      <c r="D724" s="2"/>
      <c r="E724" s="2"/>
      <c r="F724" s="98"/>
      <c r="G724" s="98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35">
      <c r="A725" s="2"/>
      <c r="C725" s="2"/>
      <c r="D725" s="2"/>
      <c r="E725" s="2"/>
      <c r="F725" s="98"/>
      <c r="G725" s="98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35">
      <c r="A726" s="2"/>
      <c r="C726" s="2"/>
      <c r="D726" s="2"/>
      <c r="E726" s="2"/>
      <c r="F726" s="98"/>
      <c r="G726" s="98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35">
      <c r="A727" s="2"/>
      <c r="C727" s="2"/>
      <c r="D727" s="2"/>
      <c r="E727" s="2"/>
      <c r="F727" s="98"/>
      <c r="G727" s="98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35">
      <c r="A728" s="2"/>
      <c r="C728" s="2"/>
      <c r="D728" s="2"/>
      <c r="E728" s="2"/>
      <c r="F728" s="98"/>
      <c r="G728" s="98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35">
      <c r="A729" s="2"/>
      <c r="C729" s="2"/>
      <c r="D729" s="2"/>
      <c r="E729" s="2"/>
      <c r="F729" s="98"/>
      <c r="G729" s="98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35">
      <c r="A730" s="2"/>
      <c r="C730" s="2"/>
      <c r="D730" s="2"/>
      <c r="E730" s="2"/>
      <c r="F730" s="98"/>
      <c r="G730" s="98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35">
      <c r="A731" s="2"/>
      <c r="C731" s="2"/>
      <c r="D731" s="2"/>
      <c r="E731" s="2"/>
      <c r="F731" s="98"/>
      <c r="G731" s="98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35">
      <c r="A732" s="2"/>
      <c r="C732" s="2"/>
      <c r="D732" s="2"/>
      <c r="E732" s="2"/>
      <c r="F732" s="98"/>
      <c r="G732" s="98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35">
      <c r="A733" s="2"/>
      <c r="C733" s="2"/>
      <c r="D733" s="2"/>
      <c r="E733" s="2"/>
      <c r="F733" s="98"/>
      <c r="G733" s="98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35">
      <c r="A734" s="2"/>
      <c r="C734" s="2"/>
      <c r="D734" s="2"/>
      <c r="E734" s="2"/>
      <c r="F734" s="98"/>
      <c r="G734" s="98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35">
      <c r="A735" s="2"/>
      <c r="C735" s="2"/>
      <c r="D735" s="2"/>
      <c r="E735" s="2"/>
      <c r="F735" s="98"/>
      <c r="G735" s="98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35">
      <c r="A736" s="2"/>
      <c r="C736" s="2"/>
      <c r="D736" s="2"/>
      <c r="E736" s="2"/>
      <c r="F736" s="98"/>
      <c r="G736" s="98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35">
      <c r="A737" s="2"/>
      <c r="C737" s="2"/>
      <c r="D737" s="2"/>
      <c r="E737" s="2"/>
      <c r="F737" s="98"/>
      <c r="G737" s="98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35">
      <c r="A738" s="2"/>
      <c r="C738" s="2"/>
      <c r="D738" s="2"/>
      <c r="E738" s="2"/>
      <c r="F738" s="98"/>
      <c r="G738" s="98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35">
      <c r="A739" s="2"/>
      <c r="C739" s="2"/>
      <c r="D739" s="2"/>
      <c r="E739" s="2"/>
      <c r="F739" s="98"/>
      <c r="G739" s="98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35">
      <c r="A740" s="2"/>
      <c r="C740" s="2"/>
      <c r="D740" s="2"/>
      <c r="E740" s="2"/>
      <c r="F740" s="98"/>
      <c r="G740" s="98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35">
      <c r="A741" s="2"/>
      <c r="C741" s="2"/>
      <c r="D741" s="2"/>
      <c r="E741" s="2"/>
      <c r="F741" s="98"/>
      <c r="G741" s="98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35">
      <c r="A742" s="2"/>
      <c r="C742" s="2"/>
      <c r="D742" s="2"/>
      <c r="E742" s="2"/>
      <c r="F742" s="98"/>
      <c r="G742" s="98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35">
      <c r="A743" s="2"/>
      <c r="C743" s="2"/>
      <c r="D743" s="2"/>
      <c r="E743" s="2"/>
      <c r="F743" s="98"/>
      <c r="G743" s="98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35">
      <c r="A744" s="2"/>
      <c r="C744" s="2"/>
      <c r="D744" s="2"/>
      <c r="E744" s="2"/>
      <c r="F744" s="98"/>
      <c r="G744" s="98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35">
      <c r="A745" s="2"/>
      <c r="C745" s="2"/>
      <c r="D745" s="2"/>
      <c r="E745" s="2"/>
      <c r="F745" s="98"/>
      <c r="G745" s="98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35">
      <c r="A746" s="2"/>
      <c r="C746" s="2"/>
      <c r="D746" s="2"/>
      <c r="E746" s="2"/>
      <c r="F746" s="98"/>
      <c r="G746" s="98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35">
      <c r="A747" s="2"/>
      <c r="C747" s="2"/>
      <c r="D747" s="2"/>
      <c r="E747" s="2"/>
      <c r="F747" s="98"/>
      <c r="G747" s="98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35">
      <c r="A748" s="2"/>
      <c r="C748" s="2"/>
      <c r="D748" s="2"/>
      <c r="E748" s="2"/>
      <c r="F748" s="98"/>
      <c r="G748" s="98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35">
      <c r="A749" s="2"/>
      <c r="C749" s="2"/>
      <c r="D749" s="2"/>
      <c r="E749" s="2"/>
      <c r="F749" s="98"/>
      <c r="G749" s="98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35">
      <c r="A750" s="2"/>
      <c r="C750" s="2"/>
      <c r="D750" s="2"/>
      <c r="E750" s="2"/>
      <c r="F750" s="98"/>
      <c r="G750" s="98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35">
      <c r="A751" s="2"/>
      <c r="C751" s="2"/>
      <c r="D751" s="2"/>
      <c r="E751" s="2"/>
      <c r="F751" s="98"/>
      <c r="G751" s="98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35">
      <c r="A752" s="2"/>
      <c r="C752" s="2"/>
      <c r="D752" s="2"/>
      <c r="E752" s="2"/>
      <c r="F752" s="98"/>
      <c r="G752" s="98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35">
      <c r="A753" s="2"/>
      <c r="C753" s="2"/>
      <c r="D753" s="2"/>
      <c r="E753" s="2"/>
      <c r="F753" s="98"/>
      <c r="G753" s="98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35">
      <c r="A754" s="2"/>
      <c r="C754" s="2"/>
      <c r="D754" s="2"/>
      <c r="E754" s="2"/>
      <c r="F754" s="98"/>
      <c r="G754" s="98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35">
      <c r="A755" s="2"/>
      <c r="C755" s="2"/>
      <c r="D755" s="2"/>
      <c r="E755" s="2"/>
      <c r="F755" s="98"/>
      <c r="G755" s="98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35">
      <c r="A756" s="2"/>
      <c r="C756" s="2"/>
      <c r="D756" s="2"/>
      <c r="E756" s="2"/>
      <c r="F756" s="98"/>
      <c r="G756" s="98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35">
      <c r="A757" s="2"/>
      <c r="C757" s="2"/>
      <c r="D757" s="2"/>
      <c r="E757" s="2"/>
      <c r="F757" s="98"/>
      <c r="G757" s="98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35">
      <c r="A758" s="2"/>
      <c r="C758" s="2"/>
      <c r="D758" s="2"/>
      <c r="E758" s="2"/>
      <c r="F758" s="98"/>
      <c r="G758" s="98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35">
      <c r="A759" s="2"/>
      <c r="C759" s="2"/>
      <c r="D759" s="2"/>
      <c r="E759" s="2"/>
      <c r="F759" s="98"/>
      <c r="G759" s="98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35">
      <c r="A760" s="2"/>
      <c r="C760" s="2"/>
      <c r="D760" s="2"/>
      <c r="E760" s="2"/>
      <c r="F760" s="98"/>
      <c r="G760" s="98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35">
      <c r="A761" s="2"/>
      <c r="C761" s="2"/>
      <c r="D761" s="2"/>
      <c r="E761" s="2"/>
      <c r="F761" s="98"/>
      <c r="G761" s="98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35">
      <c r="A762" s="2"/>
      <c r="C762" s="2"/>
      <c r="D762" s="2"/>
      <c r="E762" s="2"/>
      <c r="F762" s="98"/>
      <c r="G762" s="98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35">
      <c r="A763" s="2"/>
      <c r="C763" s="2"/>
      <c r="D763" s="2"/>
      <c r="E763" s="2"/>
      <c r="F763" s="98"/>
      <c r="G763" s="98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35">
      <c r="A764" s="2"/>
      <c r="C764" s="2"/>
      <c r="D764" s="2"/>
      <c r="E764" s="2"/>
      <c r="F764" s="98"/>
      <c r="G764" s="98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35">
      <c r="A765" s="2"/>
      <c r="C765" s="2"/>
      <c r="D765" s="2"/>
      <c r="E765" s="2"/>
      <c r="F765" s="98"/>
      <c r="G765" s="98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35">
      <c r="A766" s="2"/>
      <c r="C766" s="2"/>
      <c r="D766" s="2"/>
      <c r="E766" s="2"/>
      <c r="F766" s="98"/>
      <c r="G766" s="98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35">
      <c r="A767" s="2"/>
      <c r="C767" s="2"/>
      <c r="D767" s="2"/>
      <c r="E767" s="2"/>
      <c r="F767" s="98"/>
      <c r="G767" s="98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35">
      <c r="A768" s="2"/>
      <c r="C768" s="2"/>
      <c r="D768" s="2"/>
      <c r="E768" s="2"/>
      <c r="F768" s="98"/>
      <c r="G768" s="98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35">
      <c r="A769" s="2"/>
      <c r="C769" s="2"/>
      <c r="D769" s="2"/>
      <c r="E769" s="2"/>
      <c r="F769" s="98"/>
      <c r="G769" s="98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35">
      <c r="A770" s="2"/>
      <c r="C770" s="2"/>
      <c r="D770" s="2"/>
      <c r="E770" s="2"/>
      <c r="F770" s="98"/>
      <c r="G770" s="98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35">
      <c r="A771" s="2"/>
      <c r="C771" s="2"/>
      <c r="D771" s="2"/>
      <c r="E771" s="2"/>
      <c r="F771" s="98"/>
      <c r="G771" s="98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35">
      <c r="A772" s="2"/>
      <c r="C772" s="2"/>
      <c r="D772" s="2"/>
      <c r="E772" s="2"/>
      <c r="F772" s="98"/>
      <c r="G772" s="98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35">
      <c r="A773" s="2"/>
      <c r="C773" s="2"/>
      <c r="D773" s="2"/>
      <c r="E773" s="2"/>
      <c r="F773" s="98"/>
      <c r="G773" s="98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35">
      <c r="A774" s="2"/>
      <c r="C774" s="2"/>
      <c r="D774" s="2"/>
      <c r="E774" s="2"/>
      <c r="F774" s="98"/>
      <c r="G774" s="98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35">
      <c r="A775" s="2"/>
      <c r="C775" s="2"/>
      <c r="D775" s="2"/>
      <c r="E775" s="2"/>
      <c r="F775" s="98"/>
      <c r="G775" s="98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35">
      <c r="A776" s="2"/>
      <c r="C776" s="2"/>
      <c r="D776" s="2"/>
      <c r="E776" s="2"/>
      <c r="F776" s="98"/>
      <c r="G776" s="98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35">
      <c r="A777" s="2"/>
      <c r="C777" s="2"/>
      <c r="D777" s="2"/>
      <c r="E777" s="2"/>
      <c r="F777" s="98"/>
      <c r="G777" s="98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35">
      <c r="A778" s="2"/>
      <c r="C778" s="2"/>
      <c r="D778" s="2"/>
      <c r="E778" s="2"/>
      <c r="F778" s="98"/>
      <c r="G778" s="98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35">
      <c r="A779" s="2"/>
      <c r="C779" s="2"/>
      <c r="D779" s="2"/>
      <c r="E779" s="2"/>
      <c r="F779" s="98"/>
      <c r="G779" s="98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35">
      <c r="A780" s="2"/>
      <c r="C780" s="2"/>
      <c r="D780" s="2"/>
      <c r="E780" s="2"/>
      <c r="F780" s="98"/>
      <c r="G780" s="98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35">
      <c r="A781" s="2"/>
      <c r="C781" s="2"/>
      <c r="D781" s="2"/>
      <c r="E781" s="2"/>
      <c r="F781" s="98"/>
      <c r="G781" s="98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35">
      <c r="A782" s="2"/>
      <c r="C782" s="2"/>
      <c r="D782" s="2"/>
      <c r="E782" s="2"/>
      <c r="F782" s="98"/>
      <c r="G782" s="98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35">
      <c r="A783" s="2"/>
      <c r="C783" s="2"/>
      <c r="D783" s="2"/>
      <c r="E783" s="2"/>
      <c r="F783" s="98"/>
      <c r="G783" s="98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35">
      <c r="A784" s="2"/>
      <c r="C784" s="2"/>
      <c r="D784" s="2"/>
      <c r="E784" s="2"/>
      <c r="F784" s="98"/>
      <c r="G784" s="98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35">
      <c r="A785" s="2"/>
      <c r="C785" s="2"/>
      <c r="D785" s="2"/>
      <c r="E785" s="2"/>
      <c r="F785" s="98"/>
      <c r="G785" s="98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35">
      <c r="A786" s="2"/>
      <c r="C786" s="2"/>
      <c r="D786" s="2"/>
      <c r="E786" s="2"/>
      <c r="F786" s="98"/>
      <c r="G786" s="98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35">
      <c r="A787" s="2"/>
      <c r="C787" s="2"/>
      <c r="D787" s="2"/>
      <c r="E787" s="2"/>
      <c r="F787" s="98"/>
      <c r="G787" s="98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35">
      <c r="A788" s="2"/>
      <c r="C788" s="2"/>
      <c r="D788" s="2"/>
      <c r="E788" s="2"/>
      <c r="F788" s="98"/>
      <c r="G788" s="98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35">
      <c r="A789" s="2"/>
      <c r="C789" s="2"/>
      <c r="D789" s="2"/>
      <c r="E789" s="2"/>
      <c r="F789" s="98"/>
      <c r="G789" s="98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35">
      <c r="A790" s="2"/>
      <c r="C790" s="2"/>
      <c r="D790" s="2"/>
      <c r="E790" s="2"/>
      <c r="F790" s="98"/>
      <c r="G790" s="98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35">
      <c r="A791" s="2"/>
      <c r="C791" s="2"/>
      <c r="D791" s="2"/>
      <c r="E791" s="2"/>
      <c r="F791" s="98"/>
      <c r="G791" s="98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35">
      <c r="A792" s="2"/>
      <c r="C792" s="2"/>
      <c r="D792" s="2"/>
      <c r="E792" s="2"/>
      <c r="F792" s="98"/>
      <c r="G792" s="98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35">
      <c r="A793" s="2"/>
      <c r="C793" s="2"/>
      <c r="D793" s="2"/>
      <c r="E793" s="2"/>
      <c r="F793" s="98"/>
      <c r="G793" s="98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35">
      <c r="A794" s="2"/>
      <c r="C794" s="2"/>
      <c r="D794" s="2"/>
      <c r="E794" s="2"/>
      <c r="F794" s="98"/>
      <c r="G794" s="98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35">
      <c r="A795" s="2"/>
      <c r="C795" s="2"/>
      <c r="D795" s="2"/>
      <c r="E795" s="2"/>
      <c r="F795" s="98"/>
      <c r="G795" s="98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35">
      <c r="A796" s="2"/>
      <c r="C796" s="2"/>
      <c r="D796" s="2"/>
      <c r="E796" s="2"/>
      <c r="F796" s="98"/>
      <c r="G796" s="98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35">
      <c r="A797" s="2"/>
      <c r="C797" s="2"/>
      <c r="D797" s="2"/>
      <c r="E797" s="2"/>
      <c r="F797" s="98"/>
      <c r="G797" s="98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35">
      <c r="A798" s="2"/>
      <c r="C798" s="2"/>
      <c r="D798" s="2"/>
      <c r="E798" s="2"/>
      <c r="F798" s="98"/>
      <c r="G798" s="98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35">
      <c r="A799" s="2"/>
      <c r="C799" s="2"/>
      <c r="D799" s="2"/>
      <c r="E799" s="2"/>
      <c r="F799" s="98"/>
      <c r="G799" s="98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35">
      <c r="A800" s="2"/>
      <c r="C800" s="2"/>
      <c r="D800" s="2"/>
      <c r="E800" s="2"/>
      <c r="F800" s="98"/>
      <c r="G800" s="98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35">
      <c r="A801" s="2"/>
      <c r="C801" s="2"/>
      <c r="D801" s="2"/>
      <c r="E801" s="2"/>
      <c r="F801" s="98"/>
      <c r="G801" s="98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35">
      <c r="A802" s="2"/>
      <c r="C802" s="2"/>
      <c r="D802" s="2"/>
      <c r="E802" s="2"/>
      <c r="F802" s="98"/>
      <c r="G802" s="98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35">
      <c r="A803" s="2"/>
      <c r="C803" s="2"/>
      <c r="D803" s="2"/>
      <c r="E803" s="2"/>
      <c r="F803" s="98"/>
      <c r="G803" s="98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35">
      <c r="A804" s="2"/>
      <c r="C804" s="2"/>
      <c r="D804" s="2"/>
      <c r="E804" s="2"/>
      <c r="F804" s="98"/>
      <c r="G804" s="98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35">
      <c r="A805" s="2"/>
      <c r="C805" s="2"/>
      <c r="D805" s="2"/>
      <c r="E805" s="2"/>
      <c r="F805" s="98"/>
      <c r="G805" s="98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35">
      <c r="A806" s="2"/>
      <c r="C806" s="2"/>
      <c r="D806" s="2"/>
      <c r="E806" s="2"/>
      <c r="F806" s="98"/>
      <c r="G806" s="98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35">
      <c r="A807" s="2"/>
      <c r="C807" s="2"/>
      <c r="D807" s="2"/>
      <c r="E807" s="2"/>
      <c r="F807" s="98"/>
      <c r="G807" s="98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35">
      <c r="A808" s="2"/>
      <c r="C808" s="2"/>
      <c r="D808" s="2"/>
      <c r="E808" s="2"/>
      <c r="F808" s="98"/>
      <c r="G808" s="98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35">
      <c r="A809" s="2"/>
      <c r="C809" s="2"/>
      <c r="D809" s="2"/>
      <c r="E809" s="2"/>
      <c r="F809" s="98"/>
      <c r="G809" s="98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35">
      <c r="A810" s="2"/>
      <c r="C810" s="2"/>
      <c r="D810" s="2"/>
      <c r="E810" s="2"/>
      <c r="F810" s="98"/>
      <c r="G810" s="98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35">
      <c r="A811" s="2"/>
      <c r="C811" s="2"/>
      <c r="D811" s="2"/>
      <c r="E811" s="2"/>
      <c r="F811" s="98"/>
      <c r="G811" s="98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35">
      <c r="A812" s="2"/>
      <c r="C812" s="2"/>
      <c r="D812" s="2"/>
      <c r="E812" s="2"/>
      <c r="F812" s="98"/>
      <c r="G812" s="98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35">
      <c r="A813" s="2"/>
      <c r="C813" s="2"/>
      <c r="D813" s="2"/>
      <c r="E813" s="2"/>
      <c r="F813" s="98"/>
      <c r="G813" s="98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35">
      <c r="A814" s="2"/>
      <c r="C814" s="2"/>
      <c r="D814" s="2"/>
      <c r="E814" s="2"/>
      <c r="F814" s="98"/>
      <c r="G814" s="98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35">
      <c r="A815" s="2"/>
      <c r="C815" s="2"/>
      <c r="D815" s="2"/>
      <c r="E815" s="2"/>
      <c r="F815" s="98"/>
      <c r="G815" s="98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35">
      <c r="A816" s="2"/>
      <c r="C816" s="2"/>
      <c r="D816" s="2"/>
      <c r="E816" s="2"/>
      <c r="F816" s="98"/>
      <c r="G816" s="98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35">
      <c r="A817" s="2"/>
      <c r="C817" s="2"/>
      <c r="D817" s="2"/>
      <c r="E817" s="2"/>
      <c r="F817" s="98"/>
      <c r="G817" s="98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35">
      <c r="A818" s="2"/>
      <c r="C818" s="2"/>
      <c r="D818" s="2"/>
      <c r="E818" s="2"/>
      <c r="F818" s="98"/>
      <c r="G818" s="98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35">
      <c r="A819" s="2"/>
      <c r="C819" s="2"/>
      <c r="D819" s="2"/>
      <c r="E819" s="2"/>
      <c r="F819" s="98"/>
      <c r="G819" s="98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35">
      <c r="A820" s="2"/>
      <c r="C820" s="2"/>
      <c r="D820" s="2"/>
      <c r="E820" s="2"/>
      <c r="F820" s="98"/>
      <c r="G820" s="98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35">
      <c r="A821" s="2"/>
      <c r="C821" s="2"/>
      <c r="D821" s="2"/>
      <c r="E821" s="2"/>
      <c r="F821" s="98"/>
      <c r="G821" s="98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35">
      <c r="A822" s="2"/>
      <c r="C822" s="2"/>
      <c r="D822" s="2"/>
      <c r="E822" s="2"/>
      <c r="F822" s="98"/>
      <c r="G822" s="98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35">
      <c r="A823" s="2"/>
      <c r="C823" s="2"/>
      <c r="D823" s="2"/>
      <c r="E823" s="2"/>
      <c r="F823" s="98"/>
      <c r="G823" s="98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35">
      <c r="A824" s="2"/>
      <c r="C824" s="2"/>
      <c r="D824" s="2"/>
      <c r="E824" s="2"/>
      <c r="F824" s="98"/>
      <c r="G824" s="98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35">
      <c r="A825" s="2"/>
      <c r="C825" s="2"/>
      <c r="D825" s="2"/>
      <c r="E825" s="2"/>
      <c r="F825" s="98"/>
      <c r="G825" s="98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35">
      <c r="A826" s="2"/>
      <c r="C826" s="2"/>
      <c r="D826" s="2"/>
      <c r="E826" s="2"/>
      <c r="F826" s="98"/>
      <c r="G826" s="98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35">
      <c r="A827" s="2"/>
      <c r="C827" s="2"/>
      <c r="D827" s="2"/>
      <c r="E827" s="2"/>
      <c r="F827" s="98"/>
      <c r="G827" s="98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35">
      <c r="A828" s="2"/>
      <c r="C828" s="2"/>
      <c r="D828" s="2"/>
      <c r="E828" s="2"/>
      <c r="F828" s="98"/>
      <c r="G828" s="98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35">
      <c r="A829" s="2"/>
      <c r="C829" s="2"/>
      <c r="D829" s="2"/>
      <c r="E829" s="2"/>
      <c r="F829" s="98"/>
      <c r="G829" s="98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35">
      <c r="A830" s="2"/>
      <c r="C830" s="2"/>
      <c r="D830" s="2"/>
      <c r="E830" s="2"/>
      <c r="F830" s="98"/>
      <c r="G830" s="98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35">
      <c r="A831" s="2"/>
      <c r="C831" s="2"/>
      <c r="D831" s="2"/>
      <c r="E831" s="2"/>
      <c r="F831" s="98"/>
      <c r="G831" s="98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35">
      <c r="A832" s="2"/>
      <c r="C832" s="2"/>
      <c r="D832" s="2"/>
      <c r="E832" s="2"/>
      <c r="F832" s="98"/>
      <c r="G832" s="98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35">
      <c r="A833" s="2"/>
      <c r="C833" s="2"/>
      <c r="D833" s="2"/>
      <c r="E833" s="2"/>
      <c r="F833" s="98"/>
      <c r="G833" s="98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35">
      <c r="A834" s="2"/>
      <c r="C834" s="2"/>
      <c r="D834" s="2"/>
      <c r="E834" s="2"/>
      <c r="F834" s="98"/>
      <c r="G834" s="98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35">
      <c r="A835" s="2"/>
      <c r="C835" s="2"/>
      <c r="D835" s="2"/>
      <c r="E835" s="2"/>
      <c r="F835" s="98"/>
      <c r="G835" s="98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35">
      <c r="A836" s="2"/>
      <c r="C836" s="2"/>
      <c r="D836" s="2"/>
      <c r="E836" s="2"/>
      <c r="F836" s="98"/>
      <c r="G836" s="98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35">
      <c r="A837" s="2"/>
      <c r="C837" s="2"/>
      <c r="D837" s="2"/>
      <c r="E837" s="2"/>
      <c r="F837" s="98"/>
      <c r="G837" s="98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35">
      <c r="A838" s="2"/>
      <c r="C838" s="2"/>
      <c r="D838" s="2"/>
      <c r="E838" s="2"/>
      <c r="F838" s="98"/>
      <c r="G838" s="98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35">
      <c r="A839" s="2"/>
      <c r="C839" s="2"/>
      <c r="D839" s="2"/>
      <c r="E839" s="2"/>
      <c r="F839" s="98"/>
      <c r="G839" s="98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35">
      <c r="A840" s="2"/>
      <c r="C840" s="2"/>
      <c r="D840" s="2"/>
      <c r="E840" s="2"/>
      <c r="F840" s="98"/>
      <c r="G840" s="98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35">
      <c r="A841" s="2"/>
      <c r="C841" s="2"/>
      <c r="D841" s="2"/>
      <c r="E841" s="2"/>
      <c r="F841" s="98"/>
      <c r="G841" s="98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35">
      <c r="A842" s="2"/>
      <c r="C842" s="2"/>
      <c r="D842" s="2"/>
      <c r="E842" s="2"/>
      <c r="F842" s="98"/>
      <c r="G842" s="98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35">
      <c r="A843" s="2"/>
      <c r="C843" s="2"/>
      <c r="D843" s="2"/>
      <c r="E843" s="2"/>
      <c r="F843" s="98"/>
      <c r="G843" s="98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35">
      <c r="A844" s="2"/>
      <c r="C844" s="2"/>
      <c r="D844" s="2"/>
      <c r="E844" s="2"/>
      <c r="F844" s="98"/>
      <c r="G844" s="98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35">
      <c r="A845" s="2"/>
      <c r="C845" s="2"/>
      <c r="D845" s="2"/>
      <c r="E845" s="2"/>
      <c r="F845" s="98"/>
      <c r="G845" s="98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35">
      <c r="A846" s="2"/>
      <c r="C846" s="2"/>
      <c r="D846" s="2"/>
      <c r="E846" s="2"/>
      <c r="F846" s="98"/>
      <c r="G846" s="98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35">
      <c r="A847" s="2"/>
      <c r="C847" s="2"/>
      <c r="D847" s="2"/>
      <c r="E847" s="2"/>
      <c r="F847" s="98"/>
      <c r="G847" s="98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35">
      <c r="A848" s="2"/>
      <c r="C848" s="2"/>
      <c r="D848" s="2"/>
      <c r="E848" s="2"/>
      <c r="F848" s="98"/>
      <c r="G848" s="98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35">
      <c r="A849" s="2"/>
      <c r="C849" s="2"/>
      <c r="D849" s="2"/>
      <c r="E849" s="2"/>
      <c r="F849" s="98"/>
      <c r="G849" s="98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35">
      <c r="A850" s="2"/>
      <c r="C850" s="2"/>
      <c r="D850" s="2"/>
      <c r="E850" s="2"/>
      <c r="F850" s="98"/>
      <c r="G850" s="98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35">
      <c r="A851" s="2"/>
      <c r="C851" s="2"/>
      <c r="D851" s="2"/>
      <c r="E851" s="2"/>
      <c r="F851" s="98"/>
      <c r="G851" s="98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35">
      <c r="A852" s="2"/>
      <c r="C852" s="2"/>
      <c r="D852" s="2"/>
      <c r="E852" s="2"/>
      <c r="F852" s="98"/>
      <c r="G852" s="98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35">
      <c r="A853" s="2"/>
      <c r="C853" s="2"/>
      <c r="D853" s="2"/>
      <c r="E853" s="2"/>
      <c r="F853" s="98"/>
      <c r="G853" s="98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35">
      <c r="A854" s="2"/>
      <c r="C854" s="2"/>
      <c r="D854" s="2"/>
      <c r="E854" s="2"/>
      <c r="F854" s="98"/>
      <c r="G854" s="98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35">
      <c r="A855" s="2"/>
      <c r="C855" s="2"/>
      <c r="D855" s="2"/>
      <c r="E855" s="2"/>
      <c r="F855" s="98"/>
      <c r="G855" s="98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35">
      <c r="A856" s="2"/>
      <c r="C856" s="2"/>
      <c r="D856" s="2"/>
      <c r="E856" s="2"/>
      <c r="F856" s="98"/>
      <c r="G856" s="98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35">
      <c r="A857" s="2"/>
      <c r="C857" s="2"/>
      <c r="D857" s="2"/>
      <c r="E857" s="2"/>
      <c r="F857" s="98"/>
      <c r="G857" s="98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35">
      <c r="A858" s="2"/>
      <c r="C858" s="2"/>
      <c r="D858" s="2"/>
      <c r="E858" s="2"/>
      <c r="F858" s="98"/>
      <c r="G858" s="98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35">
      <c r="A859" s="2"/>
      <c r="C859" s="2"/>
      <c r="D859" s="2"/>
      <c r="E859" s="2"/>
      <c r="F859" s="98"/>
      <c r="G859" s="98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35">
      <c r="A860" s="2"/>
      <c r="C860" s="2"/>
      <c r="D860" s="2"/>
      <c r="E860" s="2"/>
      <c r="F860" s="98"/>
      <c r="G860" s="98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35">
      <c r="A861" s="2"/>
      <c r="C861" s="2"/>
      <c r="D861" s="2"/>
      <c r="E861" s="2"/>
      <c r="F861" s="98"/>
      <c r="G861" s="98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35">
      <c r="A862" s="2"/>
      <c r="C862" s="2"/>
      <c r="D862" s="2"/>
      <c r="E862" s="2"/>
      <c r="F862" s="98"/>
      <c r="G862" s="98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35">
      <c r="A863" s="2"/>
      <c r="C863" s="2"/>
      <c r="D863" s="2"/>
      <c r="E863" s="2"/>
      <c r="F863" s="98"/>
      <c r="G863" s="98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35">
      <c r="A864" s="2"/>
      <c r="C864" s="2"/>
      <c r="D864" s="2"/>
      <c r="E864" s="2"/>
      <c r="F864" s="98"/>
      <c r="G864" s="98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35">
      <c r="A865" s="2"/>
      <c r="C865" s="2"/>
      <c r="D865" s="2"/>
      <c r="E865" s="2"/>
      <c r="F865" s="98"/>
      <c r="G865" s="98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35">
      <c r="A866" s="2"/>
      <c r="C866" s="2"/>
      <c r="D866" s="2"/>
      <c r="E866" s="2"/>
      <c r="F866" s="98"/>
      <c r="G866" s="98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35">
      <c r="A867" s="2"/>
      <c r="C867" s="2"/>
      <c r="D867" s="2"/>
      <c r="E867" s="2"/>
      <c r="F867" s="98"/>
      <c r="G867" s="98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35">
      <c r="A868" s="2"/>
      <c r="C868" s="2"/>
      <c r="D868" s="2"/>
      <c r="E868" s="2"/>
      <c r="F868" s="98"/>
      <c r="G868" s="98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35">
      <c r="A869" s="2"/>
      <c r="C869" s="2"/>
      <c r="D869" s="2"/>
      <c r="E869" s="2"/>
      <c r="F869" s="98"/>
      <c r="G869" s="98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35">
      <c r="A870" s="2"/>
      <c r="C870" s="2"/>
      <c r="D870" s="2"/>
      <c r="E870" s="2"/>
      <c r="F870" s="98"/>
      <c r="G870" s="98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35">
      <c r="A871" s="2"/>
      <c r="C871" s="2"/>
      <c r="D871" s="2"/>
      <c r="E871" s="2"/>
      <c r="F871" s="98"/>
      <c r="G871" s="98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35">
      <c r="A872" s="2"/>
      <c r="C872" s="2"/>
      <c r="D872" s="2"/>
      <c r="E872" s="2"/>
      <c r="F872" s="98"/>
      <c r="G872" s="98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35">
      <c r="A873" s="2"/>
      <c r="C873" s="2"/>
      <c r="D873" s="2"/>
      <c r="E873" s="2"/>
      <c r="F873" s="98"/>
      <c r="G873" s="98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35">
      <c r="A874" s="2"/>
      <c r="C874" s="2"/>
      <c r="D874" s="2"/>
      <c r="E874" s="2"/>
      <c r="F874" s="98"/>
      <c r="G874" s="98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35">
      <c r="A875" s="2"/>
      <c r="C875" s="2"/>
      <c r="D875" s="2"/>
      <c r="E875" s="2"/>
      <c r="F875" s="98"/>
      <c r="G875" s="98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35">
      <c r="A876" s="2"/>
      <c r="C876" s="2"/>
      <c r="D876" s="2"/>
      <c r="E876" s="2"/>
      <c r="F876" s="98"/>
      <c r="G876" s="98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35">
      <c r="A877" s="2"/>
      <c r="C877" s="2"/>
      <c r="D877" s="2"/>
      <c r="E877" s="2"/>
      <c r="F877" s="98"/>
      <c r="G877" s="98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35">
      <c r="A878" s="2"/>
      <c r="C878" s="2"/>
      <c r="D878" s="2"/>
      <c r="E878" s="2"/>
      <c r="F878" s="98"/>
      <c r="G878" s="98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35">
      <c r="A879" s="2"/>
      <c r="C879" s="2"/>
      <c r="D879" s="2"/>
      <c r="E879" s="2"/>
      <c r="F879" s="98"/>
      <c r="G879" s="98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35">
      <c r="A880" s="2"/>
      <c r="C880" s="2"/>
      <c r="D880" s="2"/>
      <c r="E880" s="2"/>
      <c r="F880" s="98"/>
      <c r="G880" s="98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35">
      <c r="A881" s="2"/>
      <c r="C881" s="2"/>
      <c r="D881" s="2"/>
      <c r="E881" s="2"/>
      <c r="F881" s="98"/>
      <c r="G881" s="98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35">
      <c r="A882" s="2"/>
      <c r="C882" s="2"/>
      <c r="D882" s="2"/>
      <c r="E882" s="2"/>
      <c r="F882" s="98"/>
      <c r="G882" s="98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35">
      <c r="A883" s="2"/>
      <c r="C883" s="2"/>
      <c r="D883" s="2"/>
      <c r="E883" s="2"/>
      <c r="F883" s="98"/>
      <c r="G883" s="98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35">
      <c r="A884" s="2"/>
      <c r="C884" s="2"/>
      <c r="D884" s="2"/>
      <c r="E884" s="2"/>
      <c r="F884" s="98"/>
      <c r="G884" s="98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35">
      <c r="A885" s="2"/>
      <c r="C885" s="2"/>
      <c r="D885" s="2"/>
      <c r="E885" s="2"/>
      <c r="F885" s="98"/>
      <c r="G885" s="98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35">
      <c r="A886" s="2"/>
      <c r="C886" s="2"/>
      <c r="D886" s="2"/>
      <c r="E886" s="2"/>
      <c r="F886" s="98"/>
      <c r="G886" s="98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35">
      <c r="A887" s="2"/>
      <c r="C887" s="2"/>
      <c r="D887" s="2"/>
      <c r="E887" s="2"/>
      <c r="F887" s="98"/>
      <c r="G887" s="98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35">
      <c r="A888" s="2"/>
      <c r="C888" s="2"/>
      <c r="D888" s="2"/>
      <c r="E888" s="2"/>
      <c r="F888" s="98"/>
      <c r="G888" s="98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35">
      <c r="A889" s="2"/>
      <c r="C889" s="2"/>
      <c r="D889" s="2"/>
      <c r="E889" s="2"/>
      <c r="F889" s="98"/>
      <c r="G889" s="98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35">
      <c r="A890" s="2"/>
      <c r="C890" s="2"/>
      <c r="D890" s="2"/>
      <c r="E890" s="2"/>
      <c r="F890" s="98"/>
      <c r="G890" s="98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35">
      <c r="A891" s="2"/>
      <c r="C891" s="2"/>
      <c r="D891" s="2"/>
      <c r="E891" s="2"/>
      <c r="F891" s="98"/>
      <c r="G891" s="98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35">
      <c r="A892" s="2"/>
      <c r="C892" s="2"/>
      <c r="D892" s="2"/>
      <c r="E892" s="2"/>
      <c r="F892" s="98"/>
      <c r="G892" s="98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35">
      <c r="A893" s="2"/>
      <c r="C893" s="2"/>
      <c r="D893" s="2"/>
      <c r="E893" s="2"/>
      <c r="F893" s="98"/>
      <c r="G893" s="98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35">
      <c r="A894" s="2"/>
      <c r="C894" s="2"/>
      <c r="D894" s="2"/>
      <c r="E894" s="2"/>
      <c r="F894" s="98"/>
      <c r="G894" s="98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35">
      <c r="A895" s="2"/>
      <c r="C895" s="2"/>
      <c r="D895" s="2"/>
      <c r="E895" s="2"/>
      <c r="F895" s="98"/>
      <c r="G895" s="98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35">
      <c r="A896" s="2"/>
      <c r="C896" s="2"/>
      <c r="D896" s="2"/>
      <c r="E896" s="2"/>
      <c r="F896" s="98"/>
      <c r="G896" s="98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35">
      <c r="A897" s="2"/>
      <c r="C897" s="2"/>
      <c r="D897" s="2"/>
      <c r="E897" s="2"/>
      <c r="F897" s="98"/>
      <c r="G897" s="98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35">
      <c r="A898" s="2"/>
      <c r="C898" s="2"/>
      <c r="D898" s="2"/>
      <c r="E898" s="2"/>
      <c r="F898" s="98"/>
      <c r="G898" s="98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35">
      <c r="A899" s="2"/>
      <c r="C899" s="2"/>
      <c r="D899" s="2"/>
      <c r="E899" s="2"/>
      <c r="F899" s="98"/>
      <c r="G899" s="98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35">
      <c r="A900" s="2"/>
      <c r="C900" s="2"/>
      <c r="D900" s="2"/>
      <c r="E900" s="2"/>
      <c r="F900" s="98"/>
      <c r="G900" s="98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35">
      <c r="A901" s="2"/>
      <c r="C901" s="2"/>
      <c r="D901" s="2"/>
      <c r="E901" s="2"/>
      <c r="F901" s="98"/>
      <c r="G901" s="98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35">
      <c r="A902" s="2"/>
      <c r="C902" s="2"/>
      <c r="D902" s="2"/>
      <c r="E902" s="2"/>
      <c r="F902" s="98"/>
      <c r="G902" s="98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35">
      <c r="A903" s="2"/>
      <c r="C903" s="2"/>
      <c r="D903" s="2"/>
      <c r="E903" s="2"/>
      <c r="F903" s="98"/>
      <c r="G903" s="98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35">
      <c r="A904" s="2"/>
      <c r="C904" s="2"/>
      <c r="D904" s="2"/>
      <c r="E904" s="2"/>
      <c r="F904" s="98"/>
      <c r="G904" s="98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35">
      <c r="A905" s="2"/>
      <c r="C905" s="2"/>
      <c r="D905" s="2"/>
      <c r="E905" s="2"/>
      <c r="F905" s="98"/>
      <c r="G905" s="98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35">
      <c r="A906" s="2"/>
      <c r="C906" s="2"/>
      <c r="D906" s="2"/>
      <c r="E906" s="2"/>
      <c r="F906" s="98"/>
      <c r="G906" s="98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35">
      <c r="A907" s="2"/>
      <c r="C907" s="2"/>
      <c r="D907" s="2"/>
      <c r="E907" s="2"/>
      <c r="F907" s="98"/>
      <c r="G907" s="98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35">
      <c r="A908" s="2"/>
      <c r="C908" s="2"/>
      <c r="D908" s="2"/>
      <c r="E908" s="2"/>
      <c r="F908" s="98"/>
      <c r="G908" s="98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35">
      <c r="A909" s="2"/>
      <c r="C909" s="2"/>
      <c r="D909" s="2"/>
      <c r="E909" s="2"/>
      <c r="F909" s="98"/>
      <c r="G909" s="98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35">
      <c r="A910" s="2"/>
      <c r="C910" s="2"/>
      <c r="D910" s="2"/>
      <c r="E910" s="2"/>
      <c r="F910" s="98"/>
      <c r="G910" s="98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35">
      <c r="A911" s="2"/>
      <c r="C911" s="2"/>
      <c r="D911" s="2"/>
      <c r="E911" s="2"/>
      <c r="F911" s="98"/>
      <c r="G911" s="98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35">
      <c r="A912" s="2"/>
      <c r="C912" s="2"/>
      <c r="D912" s="2"/>
      <c r="E912" s="2"/>
      <c r="F912" s="98"/>
      <c r="G912" s="98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35">
      <c r="A913" s="2"/>
      <c r="C913" s="2"/>
      <c r="D913" s="2"/>
      <c r="E913" s="2"/>
      <c r="F913" s="98"/>
      <c r="G913" s="98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35">
      <c r="A914" s="2"/>
      <c r="C914" s="2"/>
      <c r="D914" s="2"/>
      <c r="E914" s="2"/>
      <c r="F914" s="98"/>
      <c r="G914" s="98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35">
      <c r="A915" s="2"/>
      <c r="C915" s="2"/>
      <c r="D915" s="2"/>
      <c r="E915" s="2"/>
      <c r="F915" s="98"/>
      <c r="G915" s="98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35">
      <c r="A916" s="2"/>
      <c r="C916" s="2"/>
      <c r="D916" s="2"/>
      <c r="E916" s="2"/>
      <c r="F916" s="98"/>
      <c r="G916" s="98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35">
      <c r="A917" s="2"/>
      <c r="C917" s="2"/>
      <c r="D917" s="2"/>
      <c r="E917" s="2"/>
      <c r="F917" s="98"/>
      <c r="G917" s="98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35">
      <c r="A918" s="2"/>
      <c r="C918" s="2"/>
      <c r="D918" s="2"/>
      <c r="E918" s="2"/>
      <c r="F918" s="98"/>
      <c r="G918" s="98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35">
      <c r="A919" s="2"/>
      <c r="C919" s="2"/>
      <c r="D919" s="2"/>
      <c r="E919" s="2"/>
      <c r="F919" s="98"/>
      <c r="G919" s="98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35">
      <c r="A920" s="2"/>
      <c r="C920" s="2"/>
      <c r="D920" s="2"/>
      <c r="E920" s="2"/>
      <c r="F920" s="98"/>
      <c r="G920" s="98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35">
      <c r="A921" s="2"/>
      <c r="C921" s="2"/>
      <c r="D921" s="2"/>
      <c r="E921" s="2"/>
      <c r="F921" s="98"/>
      <c r="G921" s="98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35">
      <c r="A922" s="2"/>
      <c r="C922" s="2"/>
      <c r="D922" s="2"/>
      <c r="E922" s="2"/>
      <c r="F922" s="98"/>
      <c r="G922" s="98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35">
      <c r="A923" s="2"/>
      <c r="C923" s="2"/>
      <c r="D923" s="2"/>
      <c r="E923" s="2"/>
      <c r="F923" s="98"/>
      <c r="G923" s="98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35">
      <c r="A924" s="2"/>
      <c r="C924" s="2"/>
      <c r="D924" s="2"/>
      <c r="E924" s="2"/>
      <c r="F924" s="98"/>
      <c r="G924" s="98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35">
      <c r="A925" s="2"/>
      <c r="C925" s="2"/>
      <c r="D925" s="2"/>
      <c r="E925" s="2"/>
      <c r="F925" s="98"/>
      <c r="G925" s="98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35">
      <c r="A926" s="2"/>
      <c r="C926" s="2"/>
      <c r="D926" s="2"/>
      <c r="E926" s="2"/>
      <c r="F926" s="98"/>
      <c r="G926" s="98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35">
      <c r="A927" s="2"/>
      <c r="C927" s="2"/>
      <c r="D927" s="2"/>
      <c r="E927" s="2"/>
      <c r="F927" s="98"/>
      <c r="G927" s="98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35">
      <c r="A928" s="2"/>
      <c r="C928" s="2"/>
      <c r="D928" s="2"/>
      <c r="E928" s="2"/>
      <c r="F928" s="98"/>
      <c r="G928" s="98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35">
      <c r="A929" s="2"/>
      <c r="C929" s="2"/>
      <c r="D929" s="2"/>
      <c r="E929" s="2"/>
      <c r="F929" s="98"/>
      <c r="G929" s="98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35">
      <c r="A930" s="2"/>
      <c r="C930" s="2"/>
      <c r="D930" s="2"/>
      <c r="E930" s="2"/>
      <c r="F930" s="98"/>
      <c r="G930" s="98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35">
      <c r="A931" s="2"/>
      <c r="C931" s="2"/>
      <c r="D931" s="2"/>
      <c r="E931" s="2"/>
      <c r="F931" s="98"/>
      <c r="G931" s="98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35">
      <c r="A932" s="2"/>
      <c r="C932" s="2"/>
      <c r="D932" s="2"/>
      <c r="E932" s="2"/>
      <c r="F932" s="98"/>
      <c r="G932" s="98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35">
      <c r="A933" s="2"/>
      <c r="C933" s="2"/>
      <c r="D933" s="2"/>
      <c r="E933" s="2"/>
      <c r="F933" s="98"/>
      <c r="G933" s="98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35">
      <c r="A934" s="2"/>
      <c r="C934" s="2"/>
      <c r="D934" s="2"/>
      <c r="E934" s="2"/>
      <c r="F934" s="98"/>
      <c r="G934" s="98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35">
      <c r="A935" s="2"/>
      <c r="C935" s="2"/>
      <c r="D935" s="2"/>
      <c r="E935" s="2"/>
      <c r="F935" s="98"/>
      <c r="G935" s="98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35">
      <c r="A936" s="2"/>
      <c r="C936" s="2"/>
      <c r="D936" s="2"/>
      <c r="E936" s="2"/>
      <c r="F936" s="98"/>
      <c r="G936" s="98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35">
      <c r="A937" s="2"/>
      <c r="C937" s="2"/>
      <c r="D937" s="2"/>
      <c r="E937" s="2"/>
      <c r="F937" s="98"/>
      <c r="G937" s="98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35">
      <c r="A938" s="2"/>
      <c r="C938" s="2"/>
      <c r="D938" s="2"/>
      <c r="E938" s="2"/>
      <c r="F938" s="98"/>
      <c r="G938" s="98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35">
      <c r="A939" s="2"/>
      <c r="C939" s="2"/>
      <c r="D939" s="2"/>
      <c r="E939" s="2"/>
      <c r="F939" s="98"/>
      <c r="G939" s="98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35">
      <c r="A940" s="2"/>
      <c r="C940" s="2"/>
      <c r="D940" s="2"/>
      <c r="E940" s="2"/>
      <c r="F940" s="98"/>
      <c r="G940" s="98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35">
      <c r="A941" s="2"/>
      <c r="C941" s="2"/>
      <c r="D941" s="2"/>
      <c r="E941" s="2"/>
      <c r="F941" s="98"/>
      <c r="G941" s="98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35">
      <c r="A942" s="2"/>
      <c r="C942" s="2"/>
      <c r="D942" s="2"/>
      <c r="E942" s="2"/>
      <c r="F942" s="98"/>
      <c r="G942" s="98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35">
      <c r="A943" s="2"/>
      <c r="C943" s="2"/>
      <c r="D943" s="2"/>
      <c r="E943" s="2"/>
      <c r="F943" s="98"/>
      <c r="G943" s="98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35">
      <c r="A944" s="2"/>
      <c r="C944" s="2"/>
      <c r="D944" s="2"/>
      <c r="E944" s="2"/>
      <c r="F944" s="98"/>
      <c r="G944" s="98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35">
      <c r="A945" s="2"/>
      <c r="C945" s="2"/>
      <c r="D945" s="2"/>
      <c r="E945" s="2"/>
      <c r="F945" s="98"/>
      <c r="G945" s="98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35">
      <c r="A946" s="2"/>
      <c r="C946" s="2"/>
      <c r="D946" s="2"/>
      <c r="E946" s="2"/>
      <c r="F946" s="98"/>
      <c r="G946" s="98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35">
      <c r="A947" s="2"/>
      <c r="C947" s="2"/>
      <c r="D947" s="2"/>
      <c r="E947" s="2"/>
      <c r="F947" s="98"/>
      <c r="G947" s="98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35">
      <c r="A948" s="2"/>
      <c r="C948" s="2"/>
      <c r="D948" s="2"/>
      <c r="E948" s="2"/>
      <c r="F948" s="98"/>
      <c r="G948" s="98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35">
      <c r="A949" s="2"/>
      <c r="C949" s="2"/>
      <c r="D949" s="2"/>
      <c r="E949" s="2"/>
      <c r="F949" s="98"/>
      <c r="G949" s="98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35">
      <c r="A950" s="2"/>
      <c r="C950" s="2"/>
      <c r="D950" s="2"/>
      <c r="E950" s="2"/>
      <c r="F950" s="98"/>
      <c r="G950" s="98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35">
      <c r="A951" s="2"/>
      <c r="C951" s="2"/>
      <c r="D951" s="2"/>
      <c r="E951" s="2"/>
      <c r="F951" s="98"/>
      <c r="G951" s="98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35">
      <c r="A952" s="2"/>
      <c r="C952" s="2"/>
      <c r="D952" s="2"/>
      <c r="E952" s="2"/>
      <c r="F952" s="98"/>
      <c r="G952" s="98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35">
      <c r="A953" s="2"/>
      <c r="C953" s="2"/>
      <c r="D953" s="2"/>
      <c r="E953" s="2"/>
      <c r="F953" s="98"/>
      <c r="G953" s="98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35">
      <c r="A954" s="2"/>
      <c r="C954" s="2"/>
      <c r="D954" s="2"/>
      <c r="E954" s="2"/>
      <c r="F954" s="98"/>
      <c r="G954" s="98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35">
      <c r="A955" s="2"/>
      <c r="C955" s="2"/>
      <c r="D955" s="2"/>
      <c r="E955" s="2"/>
      <c r="F955" s="98"/>
      <c r="G955" s="98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35">
      <c r="A956" s="2"/>
      <c r="C956" s="2"/>
      <c r="D956" s="2"/>
      <c r="E956" s="2"/>
      <c r="F956" s="98"/>
      <c r="G956" s="98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35">
      <c r="A957" s="2"/>
      <c r="C957" s="2"/>
      <c r="D957" s="2"/>
      <c r="E957" s="2"/>
      <c r="F957" s="98"/>
      <c r="G957" s="98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35">
      <c r="A958" s="2"/>
      <c r="C958" s="2"/>
      <c r="D958" s="2"/>
      <c r="E958" s="2"/>
      <c r="F958" s="98"/>
      <c r="G958" s="98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35">
      <c r="A959" s="2"/>
      <c r="C959" s="2"/>
      <c r="D959" s="2"/>
      <c r="E959" s="2"/>
      <c r="F959" s="98"/>
      <c r="G959" s="98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35">
      <c r="A960" s="2"/>
      <c r="C960" s="2"/>
      <c r="D960" s="2"/>
      <c r="E960" s="2"/>
      <c r="F960" s="98"/>
      <c r="G960" s="98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35">
      <c r="A961" s="2"/>
      <c r="C961" s="2"/>
      <c r="D961" s="2"/>
      <c r="E961" s="2"/>
      <c r="F961" s="98"/>
      <c r="G961" s="98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35">
      <c r="A962" s="2"/>
      <c r="C962" s="2"/>
      <c r="D962" s="2"/>
      <c r="E962" s="2"/>
      <c r="F962" s="98"/>
      <c r="G962" s="98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35">
      <c r="A963" s="2"/>
      <c r="C963" s="2"/>
      <c r="D963" s="2"/>
      <c r="E963" s="2"/>
      <c r="F963" s="98"/>
      <c r="G963" s="98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35">
      <c r="A964" s="2"/>
      <c r="C964" s="2"/>
      <c r="D964" s="2"/>
      <c r="E964" s="2"/>
      <c r="F964" s="98"/>
      <c r="G964" s="98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35">
      <c r="A965" s="2"/>
      <c r="C965" s="2"/>
      <c r="D965" s="2"/>
      <c r="E965" s="2"/>
      <c r="F965" s="98"/>
      <c r="G965" s="98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35">
      <c r="A966" s="2"/>
      <c r="C966" s="2"/>
      <c r="D966" s="2"/>
      <c r="E966" s="2"/>
      <c r="F966" s="98"/>
      <c r="G966" s="98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35">
      <c r="A967" s="2"/>
      <c r="C967" s="2"/>
      <c r="D967" s="2"/>
      <c r="E967" s="2"/>
      <c r="F967" s="98"/>
      <c r="G967" s="98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35">
      <c r="A968" s="2"/>
      <c r="C968" s="2"/>
      <c r="D968" s="2"/>
      <c r="E968" s="2"/>
      <c r="F968" s="98"/>
      <c r="G968" s="98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35">
      <c r="A969" s="2"/>
      <c r="C969" s="2"/>
      <c r="D969" s="2"/>
      <c r="E969" s="2"/>
      <c r="F969" s="98"/>
      <c r="G969" s="98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35">
      <c r="A970" s="2"/>
      <c r="C970" s="2"/>
      <c r="D970" s="2"/>
      <c r="E970" s="2"/>
      <c r="F970" s="98"/>
      <c r="G970" s="98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35">
      <c r="A971" s="2"/>
      <c r="C971" s="2"/>
      <c r="D971" s="2"/>
      <c r="E971" s="2"/>
      <c r="F971" s="98"/>
      <c r="G971" s="98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35">
      <c r="A972" s="2"/>
      <c r="C972" s="2"/>
      <c r="D972" s="2"/>
      <c r="E972" s="2"/>
      <c r="F972" s="98"/>
      <c r="G972" s="98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35">
      <c r="A973" s="2"/>
      <c r="C973" s="2"/>
      <c r="D973" s="2"/>
      <c r="E973" s="2"/>
      <c r="F973" s="98"/>
      <c r="G973" s="98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35">
      <c r="A974" s="2"/>
      <c r="C974" s="2"/>
      <c r="D974" s="2"/>
      <c r="E974" s="2"/>
      <c r="F974" s="98"/>
      <c r="G974" s="98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35">
      <c r="A975" s="2"/>
      <c r="C975" s="2"/>
      <c r="D975" s="2"/>
      <c r="E975" s="2"/>
      <c r="F975" s="98"/>
      <c r="G975" s="98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35">
      <c r="A976" s="2"/>
      <c r="C976" s="2"/>
      <c r="D976" s="2"/>
      <c r="E976" s="2"/>
      <c r="F976" s="98"/>
      <c r="G976" s="98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35">
      <c r="A977" s="2"/>
      <c r="C977" s="2"/>
      <c r="D977" s="2"/>
      <c r="E977" s="2"/>
      <c r="F977" s="98"/>
      <c r="G977" s="98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35">
      <c r="A978" s="2"/>
      <c r="C978" s="2"/>
      <c r="D978" s="2"/>
      <c r="E978" s="2"/>
      <c r="F978" s="98"/>
      <c r="G978" s="98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35">
      <c r="A979" s="2"/>
      <c r="C979" s="2"/>
      <c r="D979" s="2"/>
      <c r="E979" s="2"/>
      <c r="F979" s="98"/>
      <c r="G979" s="98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35">
      <c r="A980" s="2"/>
      <c r="C980" s="2"/>
      <c r="D980" s="2"/>
      <c r="E980" s="2"/>
      <c r="F980" s="98"/>
      <c r="G980" s="98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35">
      <c r="A981" s="2"/>
      <c r="C981" s="2"/>
      <c r="D981" s="2"/>
      <c r="E981" s="2"/>
      <c r="F981" s="98"/>
      <c r="G981" s="98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35">
      <c r="A982" s="2"/>
      <c r="C982" s="2"/>
      <c r="D982" s="2"/>
      <c r="E982" s="2"/>
      <c r="F982" s="98"/>
      <c r="G982" s="98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35">
      <c r="A983" s="2"/>
      <c r="C983" s="2"/>
      <c r="D983" s="2"/>
      <c r="E983" s="2"/>
      <c r="F983" s="98"/>
      <c r="G983" s="98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35">
      <c r="A984" s="2"/>
      <c r="C984" s="2"/>
      <c r="D984" s="2"/>
      <c r="E984" s="2"/>
      <c r="F984" s="98"/>
      <c r="G984" s="98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35">
      <c r="A985" s="2"/>
      <c r="C985" s="2"/>
      <c r="D985" s="2"/>
      <c r="E985" s="2"/>
      <c r="F985" s="98"/>
      <c r="G985" s="98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35">
      <c r="A986" s="2"/>
      <c r="C986" s="2"/>
      <c r="D986" s="2"/>
      <c r="E986" s="2"/>
      <c r="F986" s="98"/>
      <c r="G986" s="98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35">
      <c r="A987" s="2"/>
      <c r="C987" s="2"/>
      <c r="D987" s="2"/>
      <c r="E987" s="2"/>
      <c r="F987" s="98"/>
      <c r="G987" s="98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35">
      <c r="A988" s="2"/>
      <c r="C988" s="2"/>
      <c r="D988" s="2"/>
      <c r="E988" s="2"/>
      <c r="F988" s="98"/>
      <c r="G988" s="98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35">
      <c r="A989" s="2"/>
      <c r="C989" s="2"/>
      <c r="D989" s="2"/>
      <c r="E989" s="2"/>
      <c r="F989" s="98"/>
      <c r="G989" s="98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35">
      <c r="A990" s="2"/>
      <c r="C990" s="2"/>
      <c r="D990" s="2"/>
      <c r="E990" s="2"/>
      <c r="F990" s="98"/>
      <c r="G990" s="98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35">
      <c r="A991" s="2"/>
      <c r="C991" s="2"/>
      <c r="D991" s="2"/>
      <c r="E991" s="2"/>
      <c r="F991" s="98"/>
      <c r="G991" s="98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35">
      <c r="A992" s="2"/>
      <c r="C992" s="2"/>
      <c r="D992" s="2"/>
      <c r="E992" s="2"/>
      <c r="F992" s="98"/>
      <c r="G992" s="98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35">
      <c r="A993" s="2"/>
      <c r="C993" s="2"/>
      <c r="D993" s="2"/>
      <c r="E993" s="2"/>
      <c r="F993" s="98"/>
      <c r="G993" s="98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35">
      <c r="A994" s="2"/>
      <c r="C994" s="2"/>
      <c r="D994" s="2"/>
      <c r="E994" s="2"/>
      <c r="F994" s="98"/>
      <c r="G994" s="98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35">
      <c r="A995" s="2"/>
      <c r="C995" s="2"/>
      <c r="D995" s="2"/>
      <c r="E995" s="2"/>
      <c r="F995" s="98"/>
      <c r="G995" s="98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35">
      <c r="A996" s="2"/>
      <c r="C996" s="2"/>
      <c r="D996" s="2"/>
      <c r="E996" s="2"/>
      <c r="F996" s="98"/>
      <c r="G996" s="98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35">
      <c r="A997" s="2"/>
      <c r="C997" s="2"/>
      <c r="D997" s="2"/>
      <c r="E997" s="2"/>
      <c r="F997" s="98"/>
      <c r="G997" s="98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35">
      <c r="A998" s="2"/>
      <c r="C998" s="2"/>
      <c r="D998" s="2"/>
      <c r="E998" s="2"/>
      <c r="F998" s="98"/>
      <c r="G998" s="98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35">
      <c r="A999" s="2"/>
      <c r="C999" s="2"/>
      <c r="D999" s="2"/>
      <c r="E999" s="2"/>
      <c r="F999" s="98"/>
      <c r="G999" s="98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x14ac:dyDescent="0.35">
      <c r="A1000" s="2"/>
      <c r="C1000" s="2"/>
      <c r="D1000" s="2"/>
      <c r="E1000" s="2"/>
      <c r="F1000" s="98"/>
      <c r="G1000" s="98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x14ac:dyDescent="0.35">
      <c r="A1001" s="2"/>
      <c r="C1001" s="2"/>
      <c r="D1001" s="2"/>
      <c r="E1001" s="2"/>
      <c r="F1001" s="98"/>
      <c r="G1001" s="98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x14ac:dyDescent="0.35">
      <c r="A1002" s="2"/>
      <c r="C1002" s="2"/>
      <c r="D1002" s="2"/>
      <c r="E1002" s="2"/>
      <c r="F1002" s="98"/>
      <c r="G1002" s="98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x14ac:dyDescent="0.35">
      <c r="A1003" s="2"/>
      <c r="C1003" s="2"/>
      <c r="D1003" s="2"/>
      <c r="E1003" s="2"/>
      <c r="F1003" s="98"/>
      <c r="G1003" s="98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x14ac:dyDescent="0.35">
      <c r="A1004" s="2"/>
      <c r="C1004" s="2"/>
      <c r="D1004" s="2"/>
      <c r="E1004" s="2"/>
      <c r="F1004" s="98"/>
      <c r="G1004" s="98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x14ac:dyDescent="0.35">
      <c r="A1005" s="2"/>
      <c r="C1005" s="2"/>
      <c r="D1005" s="2"/>
      <c r="E1005" s="2"/>
      <c r="F1005" s="98"/>
      <c r="G1005" s="98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x14ac:dyDescent="0.35">
      <c r="A1006" s="2"/>
      <c r="C1006" s="2"/>
      <c r="D1006" s="2"/>
      <c r="E1006" s="2"/>
      <c r="F1006" s="98"/>
      <c r="G1006" s="98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x14ac:dyDescent="0.35">
      <c r="A1007" s="2"/>
      <c r="C1007" s="2"/>
      <c r="D1007" s="2"/>
      <c r="E1007" s="2"/>
      <c r="F1007" s="98"/>
      <c r="G1007" s="98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x14ac:dyDescent="0.35">
      <c r="A1008" s="2"/>
      <c r="C1008" s="2"/>
      <c r="D1008" s="2"/>
      <c r="E1008" s="2"/>
      <c r="F1008" s="98"/>
      <c r="G1008" s="98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x14ac:dyDescent="0.35">
      <c r="A1009" s="2"/>
      <c r="C1009" s="2"/>
      <c r="D1009" s="2"/>
      <c r="E1009" s="2"/>
      <c r="F1009" s="98"/>
      <c r="G1009" s="98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x14ac:dyDescent="0.35">
      <c r="A1010" s="2"/>
      <c r="C1010" s="2"/>
      <c r="D1010" s="2"/>
      <c r="E1010" s="2"/>
      <c r="F1010" s="98"/>
      <c r="G1010" s="98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x14ac:dyDescent="0.35">
      <c r="A1011" s="2"/>
      <c r="C1011" s="2"/>
      <c r="D1011" s="2"/>
      <c r="E1011" s="2"/>
      <c r="F1011" s="98"/>
      <c r="G1011" s="98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x14ac:dyDescent="0.35">
      <c r="A1012" s="2"/>
      <c r="C1012" s="2"/>
      <c r="D1012" s="2"/>
      <c r="E1012" s="2"/>
      <c r="F1012" s="98"/>
      <c r="G1012" s="98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x14ac:dyDescent="0.35">
      <c r="A1013" s="2"/>
      <c r="C1013" s="2"/>
      <c r="D1013" s="2"/>
      <c r="E1013" s="2"/>
      <c r="F1013" s="98"/>
      <c r="G1013" s="98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 x14ac:dyDescent="0.35">
      <c r="A1014" s="2"/>
      <c r="C1014" s="2"/>
      <c r="D1014" s="2"/>
      <c r="E1014" s="2"/>
      <c r="F1014" s="98"/>
      <c r="G1014" s="98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 x14ac:dyDescent="0.35">
      <c r="A1015" s="2"/>
      <c r="C1015" s="2"/>
      <c r="D1015" s="2"/>
      <c r="E1015" s="2"/>
      <c r="F1015" s="98"/>
      <c r="G1015" s="98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 spans="1:26" x14ac:dyDescent="0.35">
      <c r="A1016" s="2"/>
      <c r="C1016" s="2"/>
      <c r="D1016" s="2"/>
      <c r="E1016" s="2"/>
      <c r="F1016" s="98"/>
      <c r="G1016" s="98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  <row r="1017" spans="1:26" x14ac:dyDescent="0.35">
      <c r="A1017" s="2"/>
      <c r="C1017" s="2"/>
      <c r="D1017" s="2"/>
      <c r="E1017" s="2"/>
      <c r="F1017" s="98"/>
      <c r="G1017" s="98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</row>
    <row r="1018" spans="1:26" x14ac:dyDescent="0.35">
      <c r="A1018" s="2"/>
      <c r="C1018" s="2"/>
      <c r="D1018" s="2"/>
      <c r="E1018" s="2"/>
      <c r="F1018" s="98"/>
      <c r="G1018" s="98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</row>
    <row r="1019" spans="1:26" x14ac:dyDescent="0.35">
      <c r="A1019" s="2"/>
      <c r="C1019" s="2"/>
      <c r="D1019" s="2"/>
      <c r="E1019" s="2"/>
      <c r="F1019" s="98"/>
      <c r="G1019" s="98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</row>
    <row r="1020" spans="1:26" x14ac:dyDescent="0.35">
      <c r="A1020" s="2"/>
      <c r="C1020" s="2"/>
      <c r="D1020" s="2"/>
      <c r="E1020" s="2"/>
      <c r="F1020" s="98"/>
      <c r="G1020" s="98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</row>
    <row r="1021" spans="1:26" x14ac:dyDescent="0.35">
      <c r="A1021" s="2"/>
      <c r="C1021" s="2"/>
      <c r="D1021" s="2"/>
      <c r="E1021" s="2"/>
      <c r="F1021" s="98"/>
      <c r="G1021" s="98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</row>
    <row r="1022" spans="1:26" x14ac:dyDescent="0.35">
      <c r="A1022" s="2"/>
      <c r="C1022" s="2"/>
      <c r="D1022" s="2"/>
      <c r="E1022" s="2"/>
      <c r="F1022" s="98"/>
      <c r="G1022" s="98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</row>
    <row r="1023" spans="1:26" x14ac:dyDescent="0.35">
      <c r="A1023" s="2"/>
      <c r="C1023" s="2"/>
      <c r="D1023" s="2"/>
      <c r="E1023" s="2"/>
      <c r="F1023" s="98"/>
      <c r="G1023" s="98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</row>
    <row r="1024" spans="1:26" x14ac:dyDescent="0.35">
      <c r="A1024" s="2"/>
      <c r="C1024" s="2"/>
      <c r="D1024" s="2"/>
      <c r="E1024" s="2"/>
      <c r="F1024" s="98"/>
      <c r="G1024" s="98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</row>
    <row r="1025" spans="1:26" x14ac:dyDescent="0.35">
      <c r="A1025" s="2"/>
      <c r="C1025" s="2"/>
      <c r="D1025" s="2"/>
      <c r="E1025" s="2"/>
      <c r="F1025" s="98"/>
      <c r="G1025" s="98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</row>
    <row r="1026" spans="1:26" x14ac:dyDescent="0.35">
      <c r="A1026" s="2"/>
      <c r="C1026" s="2"/>
      <c r="D1026" s="2"/>
      <c r="E1026" s="2"/>
      <c r="F1026" s="98"/>
      <c r="G1026" s="98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</row>
    <row r="1027" spans="1:26" x14ac:dyDescent="0.35">
      <c r="A1027" s="2"/>
      <c r="C1027" s="2"/>
      <c r="D1027" s="2"/>
      <c r="E1027" s="2"/>
      <c r="F1027" s="98"/>
      <c r="G1027" s="98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</row>
    <row r="1028" spans="1:26" x14ac:dyDescent="0.35">
      <c r="A1028" s="2"/>
      <c r="C1028" s="2"/>
      <c r="D1028" s="2"/>
      <c r="E1028" s="2"/>
      <c r="F1028" s="98"/>
      <c r="G1028" s="98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</row>
    <row r="1029" spans="1:26" x14ac:dyDescent="0.35">
      <c r="A1029" s="2"/>
      <c r="C1029" s="2"/>
      <c r="D1029" s="2"/>
      <c r="E1029" s="2"/>
      <c r="F1029" s="98"/>
      <c r="G1029" s="98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</row>
    <row r="1030" spans="1:26" x14ac:dyDescent="0.35">
      <c r="A1030" s="2"/>
      <c r="C1030" s="2"/>
      <c r="D1030" s="2"/>
      <c r="E1030" s="2"/>
      <c r="F1030" s="98"/>
      <c r="G1030" s="98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</row>
    <row r="1031" spans="1:26" x14ac:dyDescent="0.35">
      <c r="A1031" s="2"/>
      <c r="C1031" s="2"/>
      <c r="D1031" s="2"/>
      <c r="E1031" s="2"/>
      <c r="F1031" s="98"/>
      <c r="G1031" s="98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</row>
    <row r="1032" spans="1:26" x14ac:dyDescent="0.35">
      <c r="A1032" s="2"/>
      <c r="C1032" s="2"/>
      <c r="D1032" s="2"/>
      <c r="E1032" s="2"/>
      <c r="F1032" s="98"/>
      <c r="G1032" s="98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</row>
    <row r="1033" spans="1:26" x14ac:dyDescent="0.35">
      <c r="A1033" s="2"/>
      <c r="C1033" s="2"/>
      <c r="D1033" s="2"/>
      <c r="E1033" s="2"/>
      <c r="F1033" s="98"/>
      <c r="G1033" s="98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</row>
    <row r="1034" spans="1:26" x14ac:dyDescent="0.35">
      <c r="A1034" s="2"/>
      <c r="C1034" s="2"/>
      <c r="D1034" s="2"/>
      <c r="E1034" s="2"/>
      <c r="F1034" s="98"/>
      <c r="G1034" s="98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</row>
    <row r="1035" spans="1:26" x14ac:dyDescent="0.35">
      <c r="A1035" s="2"/>
      <c r="C1035" s="2"/>
      <c r="D1035" s="2"/>
      <c r="E1035" s="2"/>
      <c r="F1035" s="98"/>
      <c r="G1035" s="98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</row>
    <row r="1036" spans="1:26" x14ac:dyDescent="0.35">
      <c r="A1036" s="2"/>
      <c r="C1036" s="2"/>
      <c r="D1036" s="2"/>
      <c r="E1036" s="2"/>
      <c r="F1036" s="98"/>
      <c r="G1036" s="98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</row>
    <row r="1037" spans="1:26" x14ac:dyDescent="0.35">
      <c r="A1037" s="2"/>
      <c r="C1037" s="2"/>
      <c r="D1037" s="2"/>
      <c r="E1037" s="2"/>
      <c r="F1037" s="98"/>
      <c r="G1037" s="98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</row>
    <row r="1038" spans="1:26" x14ac:dyDescent="0.35">
      <c r="A1038" s="2"/>
      <c r="C1038" s="2"/>
      <c r="D1038" s="2"/>
      <c r="E1038" s="2"/>
      <c r="F1038" s="98"/>
      <c r="G1038" s="98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</row>
    <row r="1039" spans="1:26" x14ac:dyDescent="0.35">
      <c r="A1039" s="2"/>
      <c r="C1039" s="2"/>
      <c r="D1039" s="2"/>
      <c r="E1039" s="2"/>
      <c r="F1039" s="98"/>
      <c r="G1039" s="98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</row>
    <row r="1040" spans="1:26" x14ac:dyDescent="0.35">
      <c r="A1040" s="2"/>
      <c r="C1040" s="2"/>
      <c r="D1040" s="2"/>
      <c r="E1040" s="2"/>
      <c r="F1040" s="98"/>
      <c r="G1040" s="98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</row>
    <row r="1041" spans="1:26" x14ac:dyDescent="0.35">
      <c r="A1041" s="2"/>
      <c r="C1041" s="2"/>
      <c r="D1041" s="2"/>
      <c r="E1041" s="2"/>
      <c r="F1041" s="98"/>
      <c r="G1041" s="98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</row>
    <row r="1042" spans="1:26" x14ac:dyDescent="0.35">
      <c r="A1042" s="2"/>
      <c r="C1042" s="2"/>
      <c r="D1042" s="2"/>
      <c r="E1042" s="2"/>
      <c r="F1042" s="98"/>
      <c r="G1042" s="98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</row>
    <row r="1043" spans="1:26" x14ac:dyDescent="0.35">
      <c r="A1043" s="2"/>
      <c r="C1043" s="2"/>
      <c r="D1043" s="2"/>
      <c r="E1043" s="2"/>
      <c r="F1043" s="98"/>
      <c r="G1043" s="98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</row>
    <row r="1044" spans="1:26" x14ac:dyDescent="0.35">
      <c r="A1044" s="2"/>
      <c r="C1044" s="2"/>
      <c r="D1044" s="2"/>
      <c r="E1044" s="2"/>
      <c r="F1044" s="98"/>
      <c r="G1044" s="98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</row>
    <row r="1045" spans="1:26" x14ac:dyDescent="0.35">
      <c r="A1045" s="2"/>
      <c r="C1045" s="2"/>
      <c r="D1045" s="2"/>
      <c r="E1045" s="2"/>
      <c r="F1045" s="98"/>
      <c r="G1045" s="98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</row>
    <row r="1046" spans="1:26" x14ac:dyDescent="0.35">
      <c r="A1046" s="2"/>
      <c r="C1046" s="2"/>
      <c r="D1046" s="2"/>
      <c r="E1046" s="2"/>
      <c r="F1046" s="98"/>
      <c r="G1046" s="98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</row>
    <row r="1047" spans="1:26" x14ac:dyDescent="0.35">
      <c r="A1047" s="2"/>
      <c r="C1047" s="2"/>
      <c r="D1047" s="2"/>
      <c r="E1047" s="2"/>
      <c r="F1047" s="98"/>
      <c r="G1047" s="98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</row>
    <row r="1048" spans="1:26" x14ac:dyDescent="0.35">
      <c r="F1048" s="99"/>
      <c r="G1048" s="99"/>
    </row>
  </sheetData>
  <mergeCells count="1">
    <mergeCell ref="B1:E1"/>
  </mergeCells>
  <hyperlinks>
    <hyperlink ref="G9" r:id="rId1"/>
    <hyperlink ref="G11" r:id="rId2"/>
    <hyperlink ref="F21" r:id="rId3"/>
    <hyperlink ref="G21" r:id="rId4"/>
    <hyperlink ref="G23" r:id="rId5"/>
    <hyperlink ref="F35" r:id="rId6"/>
    <hyperlink ref="F41" r:id="rId7"/>
    <hyperlink ref="F42" r:id="rId8"/>
    <hyperlink ref="G92" r:id="rId9"/>
    <hyperlink ref="G96" r:id="rId10"/>
    <hyperlink ref="F113" r:id="rId11"/>
    <hyperlink ref="G141" r:id="rId12"/>
    <hyperlink ref="F144" r:id="rId13"/>
    <hyperlink ref="F152" r:id="rId14"/>
    <hyperlink ref="F182" r:id="rId15"/>
    <hyperlink ref="F183" r:id="rId16"/>
    <hyperlink ref="G183" r:id="rId17"/>
    <hyperlink ref="F184" r:id="rId18"/>
    <hyperlink ref="G184" r:id="rId19"/>
    <hyperlink ref="F185" r:id="rId20"/>
    <hyperlink ref="G185" r:id="rId21"/>
    <hyperlink ref="F186" r:id="rId22"/>
    <hyperlink ref="G186" r:id="rId23"/>
    <hyperlink ref="F187" r:id="rId24"/>
    <hyperlink ref="F188" r:id="rId25"/>
    <hyperlink ref="F189" r:id="rId26"/>
    <hyperlink ref="F190" r:id="rId27"/>
    <hyperlink ref="G190" r:id="rId28"/>
    <hyperlink ref="F191" r:id="rId29"/>
    <hyperlink ref="G191" r:id="rId30"/>
    <hyperlink ref="F192" r:id="rId31"/>
    <hyperlink ref="G192" r:id="rId32"/>
    <hyperlink ref="F193" r:id="rId33"/>
    <hyperlink ref="G193" r:id="rId34"/>
    <hyperlink ref="F194" r:id="rId35"/>
    <hyperlink ref="F195" r:id="rId36"/>
    <hyperlink ref="F196" r:id="rId37"/>
    <hyperlink ref="G196" r:id="rId38"/>
    <hyperlink ref="F198" r:id="rId39"/>
    <hyperlink ref="G198" r:id="rId40"/>
    <hyperlink ref="F199" r:id="rId41"/>
    <hyperlink ref="F200" r:id="rId42"/>
    <hyperlink ref="G200" r:id="rId43"/>
    <hyperlink ref="F201" r:id="rId44"/>
    <hyperlink ref="G201" r:id="rId45"/>
    <hyperlink ref="F202" r:id="rId46"/>
    <hyperlink ref="G202" r:id="rId47"/>
    <hyperlink ref="F269" r:id="rId48"/>
    <hyperlink ref="F278" r:id="rId49"/>
    <hyperlink ref="F282" r:id="rId50"/>
    <hyperlink ref="G282" r:id="rId51"/>
    <hyperlink ref="F297" r:id="rId52"/>
    <hyperlink ref="F270" r:id="rId53"/>
    <hyperlink ref="F271" r:id="rId54"/>
    <hyperlink ref="G271" r:id="rId55"/>
    <hyperlink ref="F272" r:id="rId56"/>
    <hyperlink ref="G272" r:id="rId57"/>
    <hyperlink ref="F203" r:id="rId58"/>
    <hyperlink ref="G203" r:id="rId59"/>
    <hyperlink ref="F204" r:id="rId60"/>
    <hyperlink ref="G204" r:id="rId61"/>
    <hyperlink ref="F205" r:id="rId62"/>
    <hyperlink ref="G205" r:id="rId63"/>
    <hyperlink ref="F206" r:id="rId64"/>
    <hyperlink ref="F207" r:id="rId65"/>
    <hyperlink ref="G207" r:id="rId66"/>
    <hyperlink ref="F208" r:id="rId67"/>
    <hyperlink ref="G208" r:id="rId68"/>
    <hyperlink ref="F209" r:id="rId69"/>
    <hyperlink ref="F210" r:id="rId70"/>
    <hyperlink ref="F211" r:id="rId71"/>
    <hyperlink ref="G211" r:id="rId72"/>
    <hyperlink ref="F212" r:id="rId73"/>
    <hyperlink ref="F213" r:id="rId74"/>
    <hyperlink ref="F214" r:id="rId75"/>
    <hyperlink ref="F215" r:id="rId76"/>
    <hyperlink ref="F216" r:id="rId77"/>
    <hyperlink ref="F217" r:id="rId78"/>
    <hyperlink ref="F218" r:id="rId79"/>
    <hyperlink ref="F219" r:id="rId80"/>
    <hyperlink ref="F220" r:id="rId81"/>
    <hyperlink ref="F221" r:id="rId82"/>
    <hyperlink ref="F222" r:id="rId83"/>
    <hyperlink ref="G222" r:id="rId84"/>
    <hyperlink ref="F223" r:id="rId85"/>
    <hyperlink ref="F22" r:id="rId86"/>
  </hyperlinks>
  <pageMargins left="0.7" right="0.7" top="0.75" bottom="0.75" header="0.3" footer="0.3"/>
  <pageSetup paperSize="9" orientation="portrait" horizontalDpi="300" verticalDpi="300" r:id="rId87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1016"/>
  <sheetViews>
    <sheetView zoomScale="85" zoomScaleNormal="85" zoomScalePageLayoutView="85" workbookViewId="0">
      <selection activeCell="D101" sqref="D101"/>
    </sheetView>
  </sheetViews>
  <sheetFormatPr defaultColWidth="15.1796875" defaultRowHeight="14.5" x14ac:dyDescent="0.35"/>
  <cols>
    <col min="1" max="1" width="4.81640625" customWidth="1"/>
    <col min="2" max="2" width="55.36328125" customWidth="1"/>
    <col min="3" max="3" width="24.1796875" customWidth="1"/>
    <col min="4" max="4" width="35.1796875" customWidth="1"/>
    <col min="5" max="5" width="19.6328125" customWidth="1"/>
    <col min="6" max="6" width="17.81640625" customWidth="1"/>
    <col min="7" max="7" width="17" customWidth="1"/>
    <col min="8" max="8" width="9.81640625" customWidth="1"/>
    <col min="9" max="18" width="6.6328125" customWidth="1"/>
    <col min="19" max="26" width="13.1796875" customWidth="1"/>
  </cols>
  <sheetData>
    <row r="1" spans="1:26" ht="15.5" x14ac:dyDescent="0.35">
      <c r="A1" s="13"/>
      <c r="B1" s="163" t="s">
        <v>669</v>
      </c>
      <c r="C1" s="164"/>
      <c r="D1" s="164"/>
      <c r="E1" s="164"/>
      <c r="F1" s="15"/>
      <c r="G1" s="1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5" x14ac:dyDescent="0.35">
      <c r="A2" s="16"/>
      <c r="B2" s="3"/>
      <c r="C2" s="3"/>
      <c r="D2" s="3"/>
      <c r="E2" s="16"/>
      <c r="F2" s="15"/>
      <c r="G2" s="1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8.5" x14ac:dyDescent="0.35">
      <c r="A3" s="9"/>
      <c r="B3" s="100" t="s">
        <v>0</v>
      </c>
      <c r="C3" s="100" t="s">
        <v>708</v>
      </c>
      <c r="D3" s="100" t="s">
        <v>1</v>
      </c>
      <c r="E3" s="100" t="s">
        <v>2</v>
      </c>
      <c r="F3" s="14" t="s">
        <v>707</v>
      </c>
      <c r="G3" s="14" t="s">
        <v>689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56.5" x14ac:dyDescent="0.35">
      <c r="A4" s="19">
        <v>1</v>
      </c>
      <c r="B4" s="19" t="s">
        <v>709</v>
      </c>
      <c r="C4" s="19" t="s">
        <v>668</v>
      </c>
      <c r="D4" s="19" t="s">
        <v>1475</v>
      </c>
      <c r="E4" s="19" t="s">
        <v>9</v>
      </c>
      <c r="F4" s="20" t="str">
        <f>HYPERLINK("http://www.nsmu.ru/university/vacancies/","http://www.nsmu.ru/university/vacancies/")</f>
        <v>http://www.nsmu.ru/university/vacancies/</v>
      </c>
      <c r="G4" s="20" t="str">
        <f>HYPERLINK("https://hh.ru/employer/747914","https://hh.ru/employer/747914")</f>
        <v>https://hh.ru/employer/747914</v>
      </c>
      <c r="H4" s="2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42.5" x14ac:dyDescent="0.35">
      <c r="A5" s="19">
        <v>2</v>
      </c>
      <c r="B5" s="17" t="s">
        <v>711</v>
      </c>
      <c r="C5" s="19" t="s">
        <v>668</v>
      </c>
      <c r="D5" s="17" t="s">
        <v>712</v>
      </c>
      <c r="E5" s="19" t="s">
        <v>9</v>
      </c>
      <c r="F5" s="23" t="s">
        <v>713</v>
      </c>
      <c r="G5" s="2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8.5" x14ac:dyDescent="0.35">
      <c r="A6" s="19">
        <v>3</v>
      </c>
      <c r="B6" s="17" t="s">
        <v>714</v>
      </c>
      <c r="C6" s="19" t="s">
        <v>690</v>
      </c>
      <c r="D6" s="17" t="s">
        <v>715</v>
      </c>
      <c r="E6" s="19" t="s">
        <v>9</v>
      </c>
      <c r="F6" s="20" t="str">
        <f>HYPERLINK("http://www.spoarktika.ru/vacancy.php","http://www.spoarktika.ru/vacancy.php")</f>
        <v>http://www.spoarktika.ru/vacancy.php</v>
      </c>
      <c r="G6" s="20" t="str">
        <f>HYPERLINK("https://hh.ru/employer/729135","https://hh.ru/employer/729135")</f>
        <v>https://hh.ru/employer/729135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42.5" x14ac:dyDescent="0.35">
      <c r="A7" s="19">
        <v>4</v>
      </c>
      <c r="B7" s="17" t="s">
        <v>716</v>
      </c>
      <c r="C7" s="19" t="s">
        <v>690</v>
      </c>
      <c r="D7" s="17" t="s">
        <v>717</v>
      </c>
      <c r="E7" s="19" t="s">
        <v>9</v>
      </c>
      <c r="F7" s="20" t="str">
        <f>HYPERLINK("http://www.sevmash.ru/rus/kadri/vakansii.html","http://www.sevmash.ru/rus/kadri/vakansii.html")</f>
        <v>http://www.sevmash.ru/rus/kadri/vakansii.html</v>
      </c>
      <c r="G7" s="25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8.5" x14ac:dyDescent="0.35">
      <c r="A8" s="19">
        <v>5</v>
      </c>
      <c r="B8" s="17" t="s">
        <v>718</v>
      </c>
      <c r="C8" s="19" t="s">
        <v>690</v>
      </c>
      <c r="D8" s="17" t="s">
        <v>719</v>
      </c>
      <c r="E8" s="19" t="s">
        <v>9</v>
      </c>
      <c r="F8" s="23" t="s">
        <v>720</v>
      </c>
      <c r="G8" s="20" t="str">
        <f>HYPERLINK("https://hh.ru/employer/1730748","https://hh.ru/employer/1730748")</f>
        <v>https://hh.ru/employer/1730748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8.5" x14ac:dyDescent="0.35">
      <c r="A9" s="19">
        <v>6</v>
      </c>
      <c r="B9" s="17" t="s">
        <v>721</v>
      </c>
      <c r="C9" s="19" t="s">
        <v>690</v>
      </c>
      <c r="D9" s="17" t="s">
        <v>722</v>
      </c>
      <c r="E9" s="19" t="s">
        <v>9</v>
      </c>
      <c r="F9" s="20" t="str">
        <f>HYPERLINK("http://www.onegastar.ru/contacts/","http://www.onegastar.ru/contacts/")</f>
        <v>http://www.onegastar.ru/contacts/</v>
      </c>
      <c r="G9" s="25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70.5" x14ac:dyDescent="0.35">
      <c r="A10" s="19">
        <v>7</v>
      </c>
      <c r="B10" s="19" t="s">
        <v>723</v>
      </c>
      <c r="C10" s="19" t="s">
        <v>668</v>
      </c>
      <c r="D10" s="28" t="s">
        <v>724</v>
      </c>
      <c r="E10" s="28" t="s">
        <v>725</v>
      </c>
      <c r="F10" s="23" t="s">
        <v>727</v>
      </c>
      <c r="G10" s="25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2.5" x14ac:dyDescent="0.35">
      <c r="A11" s="19">
        <v>8</v>
      </c>
      <c r="B11" s="17" t="s">
        <v>728</v>
      </c>
      <c r="C11" s="19" t="s">
        <v>729</v>
      </c>
      <c r="D11" s="17" t="s">
        <v>730</v>
      </c>
      <c r="E11" s="19" t="s">
        <v>257</v>
      </c>
      <c r="F11" s="20" t="str">
        <f>HYPERLINK("https://www.mariinsky.ru/about/administration/","https://www.mariinsky.ru/about/administration/")</f>
        <v>https://www.mariinsky.ru/about/administration/</v>
      </c>
      <c r="G11" s="20" t="str">
        <f>HYPERLINK("https://hh.ru/employer/1724101","https://hh.ru/employer/1724101")</f>
        <v>https://hh.ru/employer/1724101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56.5" x14ac:dyDescent="0.35">
      <c r="A12" s="19">
        <v>9</v>
      </c>
      <c r="B12" s="17" t="s">
        <v>732</v>
      </c>
      <c r="C12" s="19" t="s">
        <v>668</v>
      </c>
      <c r="D12" s="17" t="s">
        <v>733</v>
      </c>
      <c r="E12" s="19" t="s">
        <v>257</v>
      </c>
      <c r="F12" s="20" t="str">
        <f>HYPERLINK("http://guap.ru/sveden/struct","http://guap.ru/sveden/struct")</f>
        <v>http://guap.ru/sveden/struct</v>
      </c>
      <c r="G12" s="25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8.5" x14ac:dyDescent="0.35">
      <c r="A13" s="19">
        <v>10</v>
      </c>
      <c r="B13" s="19" t="s">
        <v>259</v>
      </c>
      <c r="C13" s="19" t="s">
        <v>692</v>
      </c>
      <c r="D13" s="19" t="s">
        <v>243</v>
      </c>
      <c r="E13" s="19" t="s">
        <v>257</v>
      </c>
      <c r="F13" s="20" t="str">
        <f>HYPERLINK("http://www.lsystems.ru/contacts/","http://www.lsystems.ru/contacts/")</f>
        <v>http://www.lsystems.ru/contacts/</v>
      </c>
      <c r="G13" s="20" t="str">
        <f>HYPERLINK("https://hh.ru/employer/4576","https://hh.ru/employer/4576")</f>
        <v>https://hh.ru/employer/4576</v>
      </c>
      <c r="H13" s="15"/>
      <c r="I13" s="15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56.5" x14ac:dyDescent="0.35">
      <c r="A14" s="19">
        <v>11</v>
      </c>
      <c r="B14" s="19" t="s">
        <v>260</v>
      </c>
      <c r="C14" s="19" t="s">
        <v>668</v>
      </c>
      <c r="D14" s="19" t="s">
        <v>230</v>
      </c>
      <c r="E14" s="19" t="s">
        <v>257</v>
      </c>
      <c r="F14" s="20" t="str">
        <f>HYPERLINK("http://www.voenmeh.ru/organization_department/ok","http://www.voenmeh.ru/organization_department/ok")</f>
        <v>http://www.voenmeh.ru/organization_department/ok</v>
      </c>
      <c r="G14" s="25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56.5" x14ac:dyDescent="0.35">
      <c r="A15" s="19">
        <v>12</v>
      </c>
      <c r="B15" s="17" t="s">
        <v>737</v>
      </c>
      <c r="C15" s="19" t="s">
        <v>668</v>
      </c>
      <c r="D15" s="17" t="s">
        <v>738</v>
      </c>
      <c r="E15" s="19" t="s">
        <v>257</v>
      </c>
      <c r="F15" s="20" t="str">
        <f>HYPERLINK("http://www.pgups.ru/contacts/contact-information/","http://www.pgups.ru/contacts/contact-information/")</f>
        <v>http://www.pgups.ru/contacts/contact-information/</v>
      </c>
      <c r="G15" s="25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8.5" x14ac:dyDescent="0.35">
      <c r="A16" s="19">
        <v>13</v>
      </c>
      <c r="B16" s="19" t="s">
        <v>314</v>
      </c>
      <c r="C16" s="19" t="s">
        <v>668</v>
      </c>
      <c r="D16" s="19" t="s">
        <v>226</v>
      </c>
      <c r="E16" s="19" t="s">
        <v>257</v>
      </c>
      <c r="F16" s="20" t="str">
        <f>HYPERLINK("http://www.spmi.ru/univer/univer_5176","http://www.spmi.ru/univer/univer_5176")</f>
        <v>http://www.spmi.ru/univer/univer_5176</v>
      </c>
      <c r="G16" s="20" t="str">
        <f>HYPERLINK("https://hh.ru/employer/176578","https://hh.ru/employer/176578")</f>
        <v>https://hh.ru/employer/176578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2.5" x14ac:dyDescent="0.35">
      <c r="A17" s="19">
        <v>14</v>
      </c>
      <c r="B17" s="19" t="s">
        <v>264</v>
      </c>
      <c r="C17" s="19" t="s">
        <v>692</v>
      </c>
      <c r="D17" s="19" t="s">
        <v>245</v>
      </c>
      <c r="E17" s="19" t="s">
        <v>257</v>
      </c>
      <c r="F17" s="32" t="s">
        <v>742</v>
      </c>
      <c r="G17" s="25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8.5" x14ac:dyDescent="0.35">
      <c r="A18" s="19">
        <v>15</v>
      </c>
      <c r="B18" s="17" t="s">
        <v>743</v>
      </c>
      <c r="C18" s="19" t="s">
        <v>690</v>
      </c>
      <c r="D18" s="17" t="s">
        <v>744</v>
      </c>
      <c r="E18" s="19" t="s">
        <v>257</v>
      </c>
      <c r="F18" s="20" t="str">
        <f>HYPERLINK("http://admship.ru/?p=546","http://admship.ru/?p=546")</f>
        <v>http://admship.ru/?p=546</v>
      </c>
      <c r="G18" s="2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70.5" x14ac:dyDescent="0.35">
      <c r="A19" s="19">
        <v>16</v>
      </c>
      <c r="B19" s="17" t="s">
        <v>745</v>
      </c>
      <c r="C19" s="19" t="s">
        <v>668</v>
      </c>
      <c r="D19" s="17" t="s">
        <v>746</v>
      </c>
      <c r="E19" s="19" t="s">
        <v>257</v>
      </c>
      <c r="F19" s="20" t="str">
        <f>HYPERLINK("http://szgmu.ru/rus/m/452/","http://szgmu.ru/rus/m/452/")</f>
        <v>http://szgmu.ru/rus/m/452/</v>
      </c>
      <c r="G19" s="2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2.5" x14ac:dyDescent="0.35">
      <c r="A20" s="19">
        <v>17</v>
      </c>
      <c r="B20" s="19" t="s">
        <v>271</v>
      </c>
      <c r="C20" s="19" t="s">
        <v>690</v>
      </c>
      <c r="D20" s="19" t="s">
        <v>272</v>
      </c>
      <c r="E20" s="19" t="s">
        <v>257</v>
      </c>
      <c r="F20" s="20" t="str">
        <f>HYPERLINK("http://www.ilimgroup.ru/career/vacancies/","http://www.ilimgroup.ru/career/vacancies/")</f>
        <v>http://www.ilimgroup.ru/career/vacancies/</v>
      </c>
      <c r="G20" s="20" t="str">
        <f>HYPERLINK("https://hh.ru/employer/6867","https://hh.ru/employer/6867")</f>
        <v>https://hh.ru/employer/6867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8.5" x14ac:dyDescent="0.35">
      <c r="A21" s="19">
        <v>18</v>
      </c>
      <c r="B21" s="17" t="s">
        <v>749</v>
      </c>
      <c r="C21" s="19" t="s">
        <v>729</v>
      </c>
      <c r="D21" s="17" t="s">
        <v>750</v>
      </c>
      <c r="E21" s="19" t="s">
        <v>257</v>
      </c>
      <c r="F21" s="20" t="str">
        <f>HYPERLINK("http://www.nlr.ru/nlr/vacancy.htm","http://www.nlr.ru/nlr/vacancy.htm")</f>
        <v>http://www.nlr.ru/nlr/vacancy.htm</v>
      </c>
      <c r="G21" s="25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2.5" x14ac:dyDescent="0.35">
      <c r="A22" s="19">
        <v>19</v>
      </c>
      <c r="B22" s="17" t="s">
        <v>751</v>
      </c>
      <c r="C22" s="19" t="s">
        <v>690</v>
      </c>
      <c r="D22" s="17" t="s">
        <v>752</v>
      </c>
      <c r="E22" s="19" t="s">
        <v>257</v>
      </c>
      <c r="F22" s="20" t="str">
        <f>HYPERLINK("http://www.oaoosk.ru/personnel-policy/applicants/","http://www.oaoosk.ru/personnel-policy/applicants/")</f>
        <v>http://www.oaoosk.ru/personnel-policy/applicants/</v>
      </c>
      <c r="G22" s="20" t="str">
        <f>HYPERLINK("https://hh.ru/employer/1575433","https://hh.ru/employer/1575433")</f>
        <v>https://hh.ru/employer/1575433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2.5" x14ac:dyDescent="0.35">
      <c r="A23" s="19">
        <v>20</v>
      </c>
      <c r="B23" s="17" t="s">
        <v>755</v>
      </c>
      <c r="C23" s="19" t="s">
        <v>690</v>
      </c>
      <c r="D23" s="17" t="s">
        <v>752</v>
      </c>
      <c r="E23" s="19" t="s">
        <v>257</v>
      </c>
      <c r="F23" s="20" t="str">
        <f>HYPERLINK("http://ckb-rubin.ru/ckb_mt_rubin/","http://ckb-rubin.ru/ckb_mt_rubin/")</f>
        <v>http://ckb-rubin.ru/ckb_mt_rubin/</v>
      </c>
      <c r="G23" s="25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8.5" x14ac:dyDescent="0.35">
      <c r="A24" s="19">
        <v>21</v>
      </c>
      <c r="B24" s="19" t="s">
        <v>274</v>
      </c>
      <c r="C24" s="19" t="s">
        <v>692</v>
      </c>
      <c r="D24" s="19" t="s">
        <v>246</v>
      </c>
      <c r="E24" s="19" t="s">
        <v>257</v>
      </c>
      <c r="F24" s="20" t="str">
        <f>HYPERLINK("http://www.orientalstudies.ru/","http://www.orientalstudies.ru/")</f>
        <v>http://www.orientalstudies.ru/</v>
      </c>
      <c r="G24" s="25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2.5" x14ac:dyDescent="0.35">
      <c r="A25" s="19">
        <v>22</v>
      </c>
      <c r="B25" s="19" t="s">
        <v>276</v>
      </c>
      <c r="C25" s="19" t="s">
        <v>690</v>
      </c>
      <c r="D25" s="19" t="s">
        <v>242</v>
      </c>
      <c r="E25" s="19" t="s">
        <v>257</v>
      </c>
      <c r="F25" s="20" t="str">
        <f>HYPERLINK("http://www.zvezda.spb.ru/index.php/personal/vakansii-itr","http://www.zvezda.spb.ru/index.php/personal/vakansii-itr")</f>
        <v>http://www.zvezda.spb.ru/index.php/personal/vakansii-itr</v>
      </c>
      <c r="G25" s="20" t="str">
        <f>HYPERLINK("https://spb.hh.ru/employer/9595","https://spb.hh.ru/employer/9595")</f>
        <v>https://spb.hh.ru/employer/9595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56.5" x14ac:dyDescent="0.35">
      <c r="A26" s="19">
        <v>23</v>
      </c>
      <c r="B26" s="17" t="s">
        <v>758</v>
      </c>
      <c r="C26" s="19" t="s">
        <v>690</v>
      </c>
      <c r="D26" s="17" t="s">
        <v>759</v>
      </c>
      <c r="E26" s="19" t="s">
        <v>257</v>
      </c>
      <c r="F26" s="20" t="str">
        <f>HYPERLINK("http://www.proletarsky.ru/about-the-company/personnel-policy/vacancies/","http://www.proletarsky.ru/about-the-company/personnel-policy/vacancies/")</f>
        <v>http://www.proletarsky.ru/about-the-company/personnel-policy/vacancies/</v>
      </c>
      <c r="G26" s="20" t="str">
        <f>HYPERLINK("https://hh.ru/employer/299465","https://hh.ru/employer/299465")</f>
        <v>https://hh.ru/employer/299465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42.5" x14ac:dyDescent="0.35">
      <c r="A27" s="19">
        <v>24</v>
      </c>
      <c r="B27" s="17" t="s">
        <v>762</v>
      </c>
      <c r="C27" s="19" t="s">
        <v>668</v>
      </c>
      <c r="D27" s="17" t="s">
        <v>763</v>
      </c>
      <c r="E27" s="19" t="s">
        <v>257</v>
      </c>
      <c r="F27" s="20" t="str">
        <f>HYPERLINK("http://www.gukit.ru/kontakty","http://www.gukit.ru/kontakty")</f>
        <v>http://www.gukit.ru/kontakty</v>
      </c>
      <c r="G27" s="20" t="str">
        <f>HYPERLINK("https://spb.hh.ru/employer/983871","https://spb.hh.ru/employer/983871")</f>
        <v>https://spb.hh.ru/employer/983871</v>
      </c>
      <c r="H27" s="15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42.5" x14ac:dyDescent="0.35">
      <c r="A28" s="19">
        <v>25</v>
      </c>
      <c r="B28" s="19" t="s">
        <v>277</v>
      </c>
      <c r="C28" s="19" t="s">
        <v>668</v>
      </c>
      <c r="D28" s="17" t="s">
        <v>765</v>
      </c>
      <c r="E28" s="19" t="s">
        <v>257</v>
      </c>
      <c r="F28" s="20" t="str">
        <f>HYPERLINK("http://www.ioffe.ru/index.php?row=12&amp;subrow=0","http://www.ioffe.ru/index.php?row=12&amp;subrow=0")</f>
        <v>http://www.ioffe.ru/index.php?row=12&amp;subrow=0</v>
      </c>
      <c r="G28" s="25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56.5" x14ac:dyDescent="0.35">
      <c r="A29" s="19">
        <v>26</v>
      </c>
      <c r="B29" s="17" t="s">
        <v>768</v>
      </c>
      <c r="C29" s="19" t="s">
        <v>668</v>
      </c>
      <c r="D29" s="17" t="s">
        <v>769</v>
      </c>
      <c r="E29" s="19" t="s">
        <v>257</v>
      </c>
      <c r="F29" s="20" t="str">
        <f>HYPERLINK("http://spbau.ru/main/contacts/list","http://spbau.ru/main/contacts/list")</f>
        <v>http://spbau.ru/main/contacts/list</v>
      </c>
      <c r="G29" s="25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42.5" x14ac:dyDescent="0.35">
      <c r="A30" s="19">
        <v>27</v>
      </c>
      <c r="B30" s="19" t="s">
        <v>282</v>
      </c>
      <c r="C30" s="19" t="s">
        <v>690</v>
      </c>
      <c r="D30" s="19" t="s">
        <v>241</v>
      </c>
      <c r="E30" s="19" t="s">
        <v>257</v>
      </c>
      <c r="F30" s="20" t="str">
        <f>HYPERLINK("http://www.lomo.ru/site/contacts/index.php","http://www.lomo.ru/site/contacts/index.php")</f>
        <v>http://www.lomo.ru/site/contacts/index.php</v>
      </c>
      <c r="G30" s="20" t="str">
        <f>HYPERLINK("https://spb.hh.ru/employer/207590","https://spb.hh.ru/employer/207590")</f>
        <v>https://spb.hh.ru/employer/207590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70.5" x14ac:dyDescent="0.35">
      <c r="A31" s="19">
        <v>28</v>
      </c>
      <c r="B31" s="19" t="s">
        <v>283</v>
      </c>
      <c r="C31" s="19" t="s">
        <v>692</v>
      </c>
      <c r="D31" s="19" t="s">
        <v>248</v>
      </c>
      <c r="E31" s="19" t="s">
        <v>257</v>
      </c>
      <c r="F31" s="20" t="str">
        <f>HYPERLINK("http://www.rtc.ru/index.php/ru/o-tsnii-rtk/vakansii","http://www.rtc.ru/index.php/ru/o-tsnii-rtk/vakansii")</f>
        <v>http://www.rtc.ru/index.php/ru/o-tsnii-rtk/vakansii</v>
      </c>
      <c r="G31" s="20" t="str">
        <f>HYPERLINK("https://spb.hh.ru/employer/687676","https://spb.hh.ru/employer/687676")</f>
        <v>https://spb.hh.ru/employer/687676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70.5" x14ac:dyDescent="0.35">
      <c r="A32" s="19">
        <v>29</v>
      </c>
      <c r="B32" s="17" t="s">
        <v>777</v>
      </c>
      <c r="C32" s="19" t="s">
        <v>668</v>
      </c>
      <c r="D32" s="17" t="s">
        <v>778</v>
      </c>
      <c r="E32" s="19" t="s">
        <v>257</v>
      </c>
      <c r="F32" s="20" t="str">
        <f>HYPERLINK("http://gpma.ru/university/jobs/","http://gpma.ru/university/jobs/")</f>
        <v>http://gpma.ru/university/jobs/</v>
      </c>
      <c r="G32" s="25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8.5" x14ac:dyDescent="0.35">
      <c r="A33" s="19">
        <v>30</v>
      </c>
      <c r="B33" s="19" t="s">
        <v>284</v>
      </c>
      <c r="C33" s="19" t="s">
        <v>690</v>
      </c>
      <c r="D33" s="19" t="s">
        <v>247</v>
      </c>
      <c r="E33" s="19" t="s">
        <v>257</v>
      </c>
      <c r="F33" s="20" t="str">
        <f>HYPERLINK("http://www.klimov.ru/career/vacancy/","http://www.klimov.ru/career/vacancy/")</f>
        <v>http://www.klimov.ru/career/vacancy/</v>
      </c>
      <c r="G33" s="20" t="str">
        <f>HYPERLINK("https://spb.hh.ru/employer/63954","https://spb.hh.ru/employer/63954")</f>
        <v>https://spb.hh.ru/employer/63954</v>
      </c>
      <c r="H33" s="37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8.5" x14ac:dyDescent="0.35">
      <c r="A34" s="19">
        <v>31</v>
      </c>
      <c r="B34" s="17" t="s">
        <v>779</v>
      </c>
      <c r="C34" s="19" t="s">
        <v>690</v>
      </c>
      <c r="D34" s="17" t="s">
        <v>780</v>
      </c>
      <c r="E34" s="19" t="s">
        <v>257</v>
      </c>
      <c r="F34" s="20" t="str">
        <f>HYPERLINK("http://soptel.ru/about/jobs/","http://soptel.ru/about/jobs/")</f>
        <v>http://soptel.ru/about/jobs/</v>
      </c>
      <c r="G34" s="20" t="str">
        <f>HYPERLINK("https://hh.ru/employer/83547","https://hh.ru/employer/83547")</f>
        <v>https://hh.ru/employer/83547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8.5" x14ac:dyDescent="0.35">
      <c r="A35" s="19">
        <v>32</v>
      </c>
      <c r="B35" s="19" t="s">
        <v>285</v>
      </c>
      <c r="C35" s="19" t="s">
        <v>690</v>
      </c>
      <c r="D35" s="19" t="s">
        <v>239</v>
      </c>
      <c r="E35" s="19" t="s">
        <v>257</v>
      </c>
      <c r="F35" s="20" t="str">
        <f>HYPERLINK("http://www.atcsd.ru/vacancies/","http://www.atcsd.ru/vacancies/")</f>
        <v>http://www.atcsd.ru/vacancies/</v>
      </c>
      <c r="G35" s="20" t="str">
        <f>HYPERLINK("https://hh.ru/employer/114909","https://hh.ru/employer/114909")</f>
        <v>https://hh.ru/employer/114909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56.5" x14ac:dyDescent="0.35">
      <c r="A36" s="19">
        <v>33</v>
      </c>
      <c r="B36" s="19" t="s">
        <v>286</v>
      </c>
      <c r="C36" s="19" t="s">
        <v>668</v>
      </c>
      <c r="D36" s="19" t="s">
        <v>233</v>
      </c>
      <c r="E36" s="19" t="s">
        <v>257</v>
      </c>
      <c r="F36" s="20" t="str">
        <f>HYPERLINK("http://www.rshu.ru/vacancy/","http://www.rshu.ru/vacancy/")</f>
        <v>http://www.rshu.ru/vacancy/</v>
      </c>
      <c r="G36" s="20" t="str">
        <f>HYPERLINK("https://hh.ru/employer/1899644","https://hh.ru/employer/1899644")</f>
        <v>https://hh.ru/employer/1899644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42.5" x14ac:dyDescent="0.35">
      <c r="A37" s="19">
        <v>34</v>
      </c>
      <c r="B37" s="17" t="s">
        <v>784</v>
      </c>
      <c r="C37" s="19" t="s">
        <v>668</v>
      </c>
      <c r="D37" s="17" t="s">
        <v>785</v>
      </c>
      <c r="E37" s="19" t="s">
        <v>257</v>
      </c>
      <c r="F37" s="20" t="str">
        <f>HYPERLINK("http://www.spbstu.ru/","http://www.spbstu.ru/")</f>
        <v>http://www.spbstu.ru/</v>
      </c>
      <c r="G37" s="2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8.5" x14ac:dyDescent="0.35">
      <c r="A38" s="19">
        <v>35</v>
      </c>
      <c r="B38" s="19" t="s">
        <v>289</v>
      </c>
      <c r="C38" s="19" t="s">
        <v>690</v>
      </c>
      <c r="D38" s="19" t="s">
        <v>237</v>
      </c>
      <c r="E38" s="19" t="s">
        <v>257</v>
      </c>
      <c r="F38" s="20" t="str">
        <f>HYPERLINK("http://www.diakont.ru/contact/","http://www.diakont.ru/contact/")</f>
        <v>http://www.diakont.ru/contact/</v>
      </c>
      <c r="G38" s="25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42.5" x14ac:dyDescent="0.35">
      <c r="A39" s="19">
        <v>36</v>
      </c>
      <c r="B39" s="19" t="s">
        <v>290</v>
      </c>
      <c r="C39" s="19" t="s">
        <v>690</v>
      </c>
      <c r="D39" s="19" t="s">
        <v>235</v>
      </c>
      <c r="E39" s="19" t="s">
        <v>257</v>
      </c>
      <c r="F39" s="20" t="str">
        <f>HYPERLINK("http://vniimem.com/vacantions/","http://vniimem.com/vacantions/")</f>
        <v>http://vniimem.com/vacantions/</v>
      </c>
      <c r="G39" s="25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8.5" x14ac:dyDescent="0.35">
      <c r="A40" s="19">
        <v>37</v>
      </c>
      <c r="B40" s="17" t="s">
        <v>791</v>
      </c>
      <c r="C40" s="19" t="s">
        <v>690</v>
      </c>
      <c r="D40" s="17" t="s">
        <v>792</v>
      </c>
      <c r="E40" s="19" t="s">
        <v>257</v>
      </c>
      <c r="F40" s="20" t="str">
        <f>HYPERLINK("http://malachite-spb.ru/118/","http://malachite-spb.ru/118/")</f>
        <v>http://malachite-spb.ru/118/</v>
      </c>
      <c r="G40" s="20" t="str">
        <f>HYPERLINK("https://spb.hh.ru/employer/717207","https://spb.hh.ru/employer/717207")</f>
        <v>https://spb.hh.ru/employer/717207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56.5" x14ac:dyDescent="0.35">
      <c r="A41" s="19">
        <v>38</v>
      </c>
      <c r="B41" s="19" t="s">
        <v>295</v>
      </c>
      <c r="C41" s="19" t="s">
        <v>668</v>
      </c>
      <c r="D41" s="19" t="s">
        <v>208</v>
      </c>
      <c r="E41" s="19" t="s">
        <v>257</v>
      </c>
      <c r="F41" s="20" t="str">
        <f>HYPERLINK("http://1spbgmu.ru/ru/universitet/vakansii-i-konkursy","http://1spbgmu.ru/ru/universitet/vakansii-i-konkursy")</f>
        <v>http://1spbgmu.ru/ru/universitet/vakansii-i-konkursy</v>
      </c>
      <c r="G41" s="25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42.5" x14ac:dyDescent="0.35">
      <c r="A42" s="19">
        <v>39</v>
      </c>
      <c r="B42" s="19" t="s">
        <v>298</v>
      </c>
      <c r="C42" s="19" t="s">
        <v>690</v>
      </c>
      <c r="D42" s="19" t="s">
        <v>234</v>
      </c>
      <c r="E42" s="19" t="s">
        <v>257</v>
      </c>
      <c r="F42" s="20" t="str">
        <f>HYPERLINK("http://www.elektropribor.spb.ru/stend/cont","http://www.elektropribor.spb.ru/stend/cont")</f>
        <v>http://www.elektropribor.spb.ru/stend/cont</v>
      </c>
      <c r="G42" s="20" t="str">
        <f>HYPERLINK("https://spb.hh.ru/employer/746659","https://spb.hh.ru/employer/746659")</f>
        <v>https://spb.hh.ru/employer/746659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56.5" x14ac:dyDescent="0.35">
      <c r="A43" s="19">
        <v>40</v>
      </c>
      <c r="B43" s="17" t="s">
        <v>803</v>
      </c>
      <c r="C43" s="19" t="s">
        <v>668</v>
      </c>
      <c r="D43" s="17" t="s">
        <v>804</v>
      </c>
      <c r="E43" s="19" t="s">
        <v>257</v>
      </c>
      <c r="F43" s="20" t="str">
        <f>HYPERLINK("http://www.ifmo.ru/ru/listvacancy/vakansii.htm","http://www.ifmo.ru/ru/listvacancy/vakansii.htm")</f>
        <v>http://www.ifmo.ru/ru/listvacancy/vakansii.htm</v>
      </c>
      <c r="G43" s="20" t="str">
        <f>HYPERLINK("https://spb.hh.ru/employer/1795976","https://spb.hh.ru/employer/1795976")</f>
        <v>https://spb.hh.ru/employer/1795976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56.5" x14ac:dyDescent="0.35">
      <c r="A44" s="19">
        <v>41</v>
      </c>
      <c r="B44" s="17" t="s">
        <v>805</v>
      </c>
      <c r="C44" s="19" t="s">
        <v>700</v>
      </c>
      <c r="D44" s="17" t="s">
        <v>806</v>
      </c>
      <c r="E44" s="19" t="s">
        <v>257</v>
      </c>
      <c r="F44" s="20" t="str">
        <f>HYPERLINK("http://www.almazovcentre.ru/?page_id=131","http://www.almazovcentre.ru/?page_id=131")</f>
        <v>http://www.almazovcentre.ru/?page_id=131</v>
      </c>
      <c r="G44" s="20" t="str">
        <f>HYPERLINK("https://spb.hh.ru/employer/546369","https://spb.hh.ru/employer/546369")</f>
        <v>https://spb.hh.ru/employer/546369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56.5" x14ac:dyDescent="0.35">
      <c r="A45" s="19">
        <v>42</v>
      </c>
      <c r="B45" s="17" t="s">
        <v>807</v>
      </c>
      <c r="C45" s="19" t="s">
        <v>668</v>
      </c>
      <c r="D45" s="17" t="s">
        <v>808</v>
      </c>
      <c r="E45" s="19" t="s">
        <v>257</v>
      </c>
      <c r="F45" s="20" t="str">
        <f>HYPERLINK("http://spcpa.ru/","http://spcpa.ru/")</f>
        <v>http://spcpa.ru/</v>
      </c>
      <c r="G45" s="42" t="str">
        <f>HYPERLINK("http://alumni.pharminnotech.com/life/finance-job","http://alumni.pharminnotech.com/life/finance-job")</f>
        <v>http://alumni.pharminnotech.com/life/finance-job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56.5" x14ac:dyDescent="0.35">
      <c r="A46" s="19">
        <v>43</v>
      </c>
      <c r="B46" s="19" t="s">
        <v>304</v>
      </c>
      <c r="C46" s="19" t="s">
        <v>668</v>
      </c>
      <c r="D46" s="19" t="s">
        <v>229</v>
      </c>
      <c r="E46" s="19" t="s">
        <v>257</v>
      </c>
      <c r="F46" s="20" t="str">
        <f>HYPERLINK("http://www.eltech.ru/ru/universitet/kontakty","http://www.eltech.ru/ru/universitet/kontakty")</f>
        <v>http://www.eltech.ru/ru/universitet/kontakty</v>
      </c>
      <c r="G46" s="20" t="str">
        <f>HYPERLINK("https://spb.hh.ru/employer/1509436","https://spb.hh.ru/employer/1509436")</f>
        <v>https://spb.hh.ru/employer/1509436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42.5" x14ac:dyDescent="0.35">
      <c r="A47" s="19">
        <v>44</v>
      </c>
      <c r="B47" s="17" t="s">
        <v>818</v>
      </c>
      <c r="C47" s="19" t="s">
        <v>700</v>
      </c>
      <c r="D47" s="19" t="s">
        <v>205</v>
      </c>
      <c r="E47" s="19" t="s">
        <v>257</v>
      </c>
      <c r="F47" s="20" t="str">
        <f>HYPERLINK("http://www.influenza.spb.ru/institute/contacts/","http://www.influenza.spb.ru/institute/contacts/")</f>
        <v>http://www.influenza.spb.ru/institute/contacts/</v>
      </c>
      <c r="G47" s="25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8.5" x14ac:dyDescent="0.35">
      <c r="A48" s="19">
        <v>45</v>
      </c>
      <c r="B48" s="19" t="s">
        <v>306</v>
      </c>
      <c r="C48" s="19" t="s">
        <v>690</v>
      </c>
      <c r="D48" s="19" t="s">
        <v>238</v>
      </c>
      <c r="E48" s="19" t="s">
        <v>257</v>
      </c>
      <c r="F48" s="20" t="str">
        <f>HYPERLINK("http://www.oceanpribor.ru/text/14.htm","http://www.oceanpribor.ru/text/14.htm")</f>
        <v>http://www.oceanpribor.ru/text/14.htm</v>
      </c>
      <c r="G48" s="20" t="str">
        <f>HYPERLINK("https://hh.ru/employer/544682","https://hh.ru/employer/544682")</f>
        <v>https://hh.ru/employer/544682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56.5" x14ac:dyDescent="0.35">
      <c r="A49" s="19">
        <v>46</v>
      </c>
      <c r="B49" s="19" t="s">
        <v>307</v>
      </c>
      <c r="C49" s="19" t="s">
        <v>668</v>
      </c>
      <c r="D49" s="19" t="s">
        <v>232</v>
      </c>
      <c r="E49" s="19" t="s">
        <v>257</v>
      </c>
      <c r="F49" s="23" t="s">
        <v>822</v>
      </c>
      <c r="G49" s="25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8.5" x14ac:dyDescent="0.35">
      <c r="A50" s="19">
        <v>47</v>
      </c>
      <c r="B50" s="17" t="s">
        <v>823</v>
      </c>
      <c r="C50" s="19" t="s">
        <v>690</v>
      </c>
      <c r="D50" s="17" t="s">
        <v>824</v>
      </c>
      <c r="E50" s="19" t="s">
        <v>257</v>
      </c>
      <c r="F50" s="20" t="str">
        <f>HYPERLINK("http://www.severnoe.com/contacts/","http://www.severnoe.com/contacts/")</f>
        <v>http://www.severnoe.com/contacts/</v>
      </c>
      <c r="G50" s="2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8.5" x14ac:dyDescent="0.35">
      <c r="A51" s="19">
        <v>48</v>
      </c>
      <c r="B51" s="19" t="s">
        <v>310</v>
      </c>
      <c r="C51" s="19" t="s">
        <v>690</v>
      </c>
      <c r="D51" s="19" t="s">
        <v>240</v>
      </c>
      <c r="E51" s="19" t="s">
        <v>257</v>
      </c>
      <c r="F51" s="20" t="str">
        <f>HYPERLINK("http://www.optogan.ru/about/vacancies","http://www.optogan.ru/about/vacancies")</f>
        <v>http://www.optogan.ru/about/vacancies</v>
      </c>
      <c r="G51" s="20" t="str">
        <f>HYPERLINK("https://hh.ru/employer/625084","https://hh.ru/employer/625084")</f>
        <v>https://hh.ru/employer/625084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42.5" x14ac:dyDescent="0.35">
      <c r="A52" s="19">
        <v>49</v>
      </c>
      <c r="B52" s="19" t="s">
        <v>311</v>
      </c>
      <c r="C52" s="19" t="s">
        <v>692</v>
      </c>
      <c r="D52" s="19" t="s">
        <v>828</v>
      </c>
      <c r="E52" s="19" t="s">
        <v>257</v>
      </c>
      <c r="F52" s="20" t="str">
        <f>HYPERLINK("http://vnivip.com/vacancy","http://vnivip.com/vacancy")</f>
        <v>http://vnivip.com/vacancy</v>
      </c>
      <c r="G52" s="25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8.5" x14ac:dyDescent="0.35">
      <c r="A53" s="19">
        <v>50</v>
      </c>
      <c r="B53" s="17" t="s">
        <v>832</v>
      </c>
      <c r="C53" s="19" t="s">
        <v>690</v>
      </c>
      <c r="D53" s="17" t="s">
        <v>833</v>
      </c>
      <c r="E53" s="19" t="s">
        <v>257</v>
      </c>
      <c r="F53" s="20" t="str">
        <f>HYPERLINK("https://biocad.ru/career/","https://biocad.ru/career/")</f>
        <v>https://biocad.ru/career/</v>
      </c>
      <c r="G53" s="20" t="str">
        <f>HYPERLINK("https://hh.ru/employer/389","https://hh.ru/employer/389")</f>
        <v>https://hh.ru/employer/389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8.5" x14ac:dyDescent="0.35">
      <c r="A54" s="19">
        <v>51</v>
      </c>
      <c r="B54" s="17" t="s">
        <v>835</v>
      </c>
      <c r="C54" s="19" t="s">
        <v>690</v>
      </c>
      <c r="D54" s="17" t="s">
        <v>836</v>
      </c>
      <c r="E54" s="19" t="s">
        <v>257</v>
      </c>
      <c r="F54" s="20" t="str">
        <f>HYPERLINK("http://www.iceberg.sp.ru/contact.html","http://www.iceberg.sp.ru/contact.html")</f>
        <v>http://www.iceberg.sp.ru/contact.html</v>
      </c>
      <c r="G54" s="25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42.5" x14ac:dyDescent="0.35">
      <c r="A55" s="19">
        <v>52</v>
      </c>
      <c r="B55" s="17" t="s">
        <v>837</v>
      </c>
      <c r="C55" s="19" t="s">
        <v>668</v>
      </c>
      <c r="D55" s="17" t="s">
        <v>838</v>
      </c>
      <c r="E55" s="19" t="s">
        <v>257</v>
      </c>
      <c r="F55" s="20" t="str">
        <f>HYPERLINK("http://spbu.ru/contacts.html","http://spbu.ru/contacts.html")</f>
        <v>http://spbu.ru/contacts.html</v>
      </c>
      <c r="G55" s="25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8.5" x14ac:dyDescent="0.35">
      <c r="A56" s="19">
        <v>53</v>
      </c>
      <c r="B56" s="17" t="s">
        <v>841</v>
      </c>
      <c r="C56" s="19" t="s">
        <v>690</v>
      </c>
      <c r="D56" s="17" t="s">
        <v>842</v>
      </c>
      <c r="E56" s="19" t="s">
        <v>257</v>
      </c>
      <c r="F56" s="20" t="str">
        <f>HYPERLINK("http://www.bz.ru/career/vacancies/","http://www.bz.ru/career/vacancies/")</f>
        <v>http://www.bz.ru/career/vacancies/</v>
      </c>
      <c r="G56" s="20" t="str">
        <f>HYPERLINK("https://hh.ru/employer/19886","https://hh.ru/employer/19886")</f>
        <v>https://hh.ru/employer/19886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8.5" x14ac:dyDescent="0.35">
      <c r="A57" s="19">
        <v>54</v>
      </c>
      <c r="B57" s="19" t="s">
        <v>315</v>
      </c>
      <c r="C57" s="19" t="s">
        <v>690</v>
      </c>
      <c r="D57" s="19" t="s">
        <v>244</v>
      </c>
      <c r="E57" s="19" t="s">
        <v>257</v>
      </c>
      <c r="F57" s="20" t="str">
        <f>HYPERLINK("http://www.uks.ru/vacancies/","http://www.uks.ru/vacancies/")</f>
        <v>http://www.uks.ru/vacancies/</v>
      </c>
      <c r="G57" s="20" t="str">
        <f>HYPERLINK("https://spb.hh.ru/employer/108257","https://spb.hh.ru/employer/108257")</f>
        <v>https://spb.hh.ru/employer/108257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8.5" x14ac:dyDescent="0.35">
      <c r="A58" s="19">
        <v>55</v>
      </c>
      <c r="B58" s="48" t="s">
        <v>847</v>
      </c>
      <c r="C58" s="19" t="s">
        <v>690</v>
      </c>
      <c r="D58" s="49" t="s">
        <v>850</v>
      </c>
      <c r="E58" s="19" t="s">
        <v>257</v>
      </c>
      <c r="F58" s="23" t="s">
        <v>851</v>
      </c>
      <c r="G58" s="20" t="str">
        <f>HYPERLINK("https://hh.ru/employer/1938912","https://hh.ru/employer/1938912")</f>
        <v>https://hh.ru/employer/1938912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42.5" x14ac:dyDescent="0.35">
      <c r="A59" s="19">
        <v>56</v>
      </c>
      <c r="B59" s="17" t="s">
        <v>852</v>
      </c>
      <c r="C59" s="19" t="s">
        <v>690</v>
      </c>
      <c r="D59" s="17" t="s">
        <v>853</v>
      </c>
      <c r="E59" s="19" t="s">
        <v>257</v>
      </c>
      <c r="F59" s="20" t="str">
        <f>HYPERLINK("http://nddb.kirovold.ru/content.php?page=ddyefohu_rus","http://nddb.kirovold.ru/content.php?page=ddyefohu_rus")</f>
        <v>http://nddb.kirovold.ru/content.php?page=ddyefohu_rus</v>
      </c>
      <c r="G59" s="25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8.5" x14ac:dyDescent="0.35">
      <c r="A60" s="19">
        <v>57</v>
      </c>
      <c r="B60" s="17" t="s">
        <v>854</v>
      </c>
      <c r="C60" s="19" t="s">
        <v>690</v>
      </c>
      <c r="D60" s="19" t="s">
        <v>223</v>
      </c>
      <c r="E60" s="19" t="s">
        <v>257</v>
      </c>
      <c r="F60" s="50"/>
      <c r="G60" s="50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42.5" x14ac:dyDescent="0.35">
      <c r="A61" s="19">
        <v>58</v>
      </c>
      <c r="B61" s="19" t="s">
        <v>856</v>
      </c>
      <c r="C61" s="19" t="s">
        <v>690</v>
      </c>
      <c r="D61" s="19" t="s">
        <v>857</v>
      </c>
      <c r="E61" s="19" t="s">
        <v>257</v>
      </c>
      <c r="F61" s="20" t="str">
        <f>HYPERLINK("http://www.rfproject.ru/contacts/","http://www.rfproject.ru/contacts/")</f>
        <v>http://www.rfproject.ru/contacts/</v>
      </c>
      <c r="G61" s="20" t="str">
        <f>HYPERLINK("https://hh.ru/employer/32177","https://hh.ru/employer/32177")</f>
        <v>https://hh.ru/employer/32177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8.5" x14ac:dyDescent="0.35">
      <c r="A62" s="19">
        <v>59</v>
      </c>
      <c r="B62" s="19" t="s">
        <v>860</v>
      </c>
      <c r="C62" s="51" t="s">
        <v>690</v>
      </c>
      <c r="D62" s="36" t="s">
        <v>861</v>
      </c>
      <c r="E62" s="51" t="s">
        <v>862</v>
      </c>
      <c r="F62" s="20" t="str">
        <f>HYPERLINK("http://www.speechpro.ru/career","http://www.speechpro.ru/career")</f>
        <v>http://www.speechpro.ru/career</v>
      </c>
      <c r="G62" s="20" t="str">
        <f>HYPERLINK("https://hh.ru/employer/4585","https://hh.ru/employer/4585")</f>
        <v>https://hh.ru/employer/4585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8.5" x14ac:dyDescent="0.35">
      <c r="A63" s="19">
        <v>60</v>
      </c>
      <c r="B63" s="29" t="s">
        <v>865</v>
      </c>
      <c r="C63" s="52" t="s">
        <v>690</v>
      </c>
      <c r="D63" s="29" t="s">
        <v>866</v>
      </c>
      <c r="E63" s="51" t="s">
        <v>862</v>
      </c>
      <c r="F63" s="53" t="str">
        <f>HYPERLINK("http://www.bt-comfort.ru/","http://www.bt-comfort.ru/")</f>
        <v>http://www.bt-comfort.ru/</v>
      </c>
      <c r="G63" s="2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56.5" x14ac:dyDescent="0.35">
      <c r="A64" s="19">
        <v>61</v>
      </c>
      <c r="B64" s="29" t="s">
        <v>868</v>
      </c>
      <c r="C64" s="52" t="s">
        <v>700</v>
      </c>
      <c r="D64" s="29" t="s">
        <v>869</v>
      </c>
      <c r="E64" s="51" t="s">
        <v>862</v>
      </c>
      <c r="F64" s="53" t="str">
        <f>HYPERLINK("http://www.niioncologii.ru/","http://www.niioncologii.ru/")</f>
        <v>http://www.niioncologii.ru/</v>
      </c>
      <c r="G64" s="2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56.5" x14ac:dyDescent="0.35">
      <c r="A65" s="19">
        <v>62</v>
      </c>
      <c r="B65" s="39" t="s">
        <v>870</v>
      </c>
      <c r="C65" s="54" t="s">
        <v>692</v>
      </c>
      <c r="D65" s="39" t="s">
        <v>873</v>
      </c>
      <c r="E65" s="51" t="s">
        <v>862</v>
      </c>
      <c r="F65" s="35" t="s">
        <v>874</v>
      </c>
      <c r="G65" s="5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42.5" x14ac:dyDescent="0.35">
      <c r="A66" s="19">
        <v>63</v>
      </c>
      <c r="B66" s="17" t="s">
        <v>875</v>
      </c>
      <c r="C66" s="54" t="s">
        <v>692</v>
      </c>
      <c r="D66" s="56" t="s">
        <v>876</v>
      </c>
      <c r="E66" s="51" t="s">
        <v>862</v>
      </c>
      <c r="F66" s="23" t="s">
        <v>877</v>
      </c>
      <c r="G66" s="2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8.5" x14ac:dyDescent="0.35">
      <c r="A67" s="19">
        <v>64</v>
      </c>
      <c r="B67" s="96" t="s">
        <v>878</v>
      </c>
      <c r="C67" s="133" t="s">
        <v>690</v>
      </c>
      <c r="D67" s="134" t="s">
        <v>879</v>
      </c>
      <c r="E67" s="135" t="s">
        <v>862</v>
      </c>
      <c r="F67" s="125" t="s">
        <v>882</v>
      </c>
      <c r="G67" s="136" t="s">
        <v>883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s="108" customFormat="1" ht="70.5" x14ac:dyDescent="0.35">
      <c r="A68" s="19">
        <v>65</v>
      </c>
      <c r="B68" s="115" t="s">
        <v>1593</v>
      </c>
      <c r="C68" s="115" t="s">
        <v>700</v>
      </c>
      <c r="D68" s="115" t="s">
        <v>1594</v>
      </c>
      <c r="E68" s="115" t="s">
        <v>862</v>
      </c>
      <c r="F68" s="129" t="s">
        <v>1595</v>
      </c>
      <c r="G68" s="119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s="108" customFormat="1" ht="70.5" x14ac:dyDescent="0.35">
      <c r="A69" s="19">
        <v>66</v>
      </c>
      <c r="B69" s="115" t="s">
        <v>1596</v>
      </c>
      <c r="C69" s="115" t="s">
        <v>700</v>
      </c>
      <c r="D69" s="115" t="s">
        <v>1597</v>
      </c>
      <c r="E69" s="115" t="s">
        <v>862</v>
      </c>
      <c r="F69" s="129" t="s">
        <v>1598</v>
      </c>
      <c r="G69" s="119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s="108" customFormat="1" ht="29" x14ac:dyDescent="0.35">
      <c r="A70" s="19">
        <v>67</v>
      </c>
      <c r="B70" s="115" t="s">
        <v>1599</v>
      </c>
      <c r="C70" s="115" t="s">
        <v>690</v>
      </c>
      <c r="D70" s="115" t="s">
        <v>1600</v>
      </c>
      <c r="E70" s="115" t="s">
        <v>862</v>
      </c>
      <c r="F70" s="129" t="s">
        <v>1601</v>
      </c>
      <c r="G70" s="119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s="108" customFormat="1" ht="56.5" x14ac:dyDescent="0.35">
      <c r="A71" s="19">
        <v>68</v>
      </c>
      <c r="B71" s="115" t="s">
        <v>1602</v>
      </c>
      <c r="C71" s="115" t="s">
        <v>668</v>
      </c>
      <c r="D71" s="115" t="s">
        <v>1603</v>
      </c>
      <c r="E71" s="115" t="s">
        <v>862</v>
      </c>
      <c r="F71" s="129" t="s">
        <v>1604</v>
      </c>
      <c r="G71" s="119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s="108" customFormat="1" ht="29" x14ac:dyDescent="0.35">
      <c r="A72" s="19">
        <v>69</v>
      </c>
      <c r="B72" s="115" t="s">
        <v>1605</v>
      </c>
      <c r="C72" s="115" t="s">
        <v>690</v>
      </c>
      <c r="D72" s="115" t="s">
        <v>1606</v>
      </c>
      <c r="E72" s="115" t="s">
        <v>862</v>
      </c>
      <c r="F72" s="129" t="s">
        <v>1607</v>
      </c>
      <c r="G72" s="129" t="s">
        <v>1608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s="108" customFormat="1" ht="29" x14ac:dyDescent="0.35">
      <c r="A73" s="19">
        <v>70</v>
      </c>
      <c r="B73" s="115" t="s">
        <v>1609</v>
      </c>
      <c r="C73" s="115" t="s">
        <v>690</v>
      </c>
      <c r="D73" s="115" t="s">
        <v>1610</v>
      </c>
      <c r="E73" s="115" t="s">
        <v>862</v>
      </c>
      <c r="F73" s="129" t="s">
        <v>1611</v>
      </c>
      <c r="G73" s="119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8.5" x14ac:dyDescent="0.35">
      <c r="A74" s="19">
        <v>71</v>
      </c>
      <c r="B74" s="68" t="s">
        <v>884</v>
      </c>
      <c r="C74" s="68" t="s">
        <v>690</v>
      </c>
      <c r="D74" s="68" t="s">
        <v>885</v>
      </c>
      <c r="E74" s="68" t="s">
        <v>206</v>
      </c>
      <c r="F74" s="127" t="str">
        <f>HYPERLINK("http://shipyard-yantar.ru/karera/","http://shipyard-yantar.ru/karera/")</f>
        <v>http://shipyard-yantar.ru/karera/</v>
      </c>
      <c r="G74" s="128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42.5" x14ac:dyDescent="0.35">
      <c r="A75" s="19">
        <v>72</v>
      </c>
      <c r="B75" s="17" t="s">
        <v>886</v>
      </c>
      <c r="C75" s="19" t="s">
        <v>668</v>
      </c>
      <c r="D75" s="17" t="s">
        <v>1478</v>
      </c>
      <c r="E75" s="19" t="s">
        <v>206</v>
      </c>
      <c r="F75" s="20" t="str">
        <f>HYPERLINK("https://www.kantiana.ru/staff/priem.php","https://www.kantiana.ru/staff/priem.php")</f>
        <v>https://www.kantiana.ru/staff/priem.php</v>
      </c>
      <c r="G75" s="20" t="str">
        <f>HYPERLINK("https://hh.ru/employer/882766","https://hh.ru/employer/882766")</f>
        <v>https://hh.ru/employer/882766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8.5" x14ac:dyDescent="0.35">
      <c r="A76" s="19">
        <v>73</v>
      </c>
      <c r="B76" s="57" t="s">
        <v>891</v>
      </c>
      <c r="C76" s="30" t="s">
        <v>734</v>
      </c>
      <c r="D76" s="29" t="s">
        <v>894</v>
      </c>
      <c r="E76" s="19" t="s">
        <v>206</v>
      </c>
      <c r="F76" s="59" t="str">
        <f>HYPERLINK("http://www.kgd-rdc.ru/","http://www.kgd-rdc.ru/")</f>
        <v>http://www.kgd-rdc.ru/</v>
      </c>
      <c r="G76" s="25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8.5" x14ac:dyDescent="0.35">
      <c r="A77" s="19">
        <v>74</v>
      </c>
      <c r="B77" s="45" t="s">
        <v>895</v>
      </c>
      <c r="C77" s="33" t="s">
        <v>734</v>
      </c>
      <c r="D77" s="61" t="s">
        <v>896</v>
      </c>
      <c r="E77" s="62" t="s">
        <v>206</v>
      </c>
      <c r="F77" s="46" t="s">
        <v>897</v>
      </c>
      <c r="G77" s="58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8.5" x14ac:dyDescent="0.35">
      <c r="A78" s="19">
        <v>75</v>
      </c>
      <c r="B78" s="96" t="s">
        <v>898</v>
      </c>
      <c r="C78" s="123" t="s">
        <v>734</v>
      </c>
      <c r="D78" s="123" t="s">
        <v>899</v>
      </c>
      <c r="E78" s="124" t="s">
        <v>206</v>
      </c>
      <c r="F78" s="125" t="s">
        <v>900</v>
      </c>
      <c r="G78" s="126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s="108" customFormat="1" ht="42.5" x14ac:dyDescent="0.35">
      <c r="A79" s="19">
        <v>76</v>
      </c>
      <c r="B79" s="115" t="s">
        <v>1590</v>
      </c>
      <c r="C79" s="115" t="s">
        <v>734</v>
      </c>
      <c r="D79" s="115" t="s">
        <v>1591</v>
      </c>
      <c r="E79" s="115" t="s">
        <v>206</v>
      </c>
      <c r="F79" s="132" t="s">
        <v>1592</v>
      </c>
      <c r="G79" s="130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42.5" x14ac:dyDescent="0.35">
      <c r="A80" s="19">
        <v>77</v>
      </c>
      <c r="B80" s="68" t="s">
        <v>417</v>
      </c>
      <c r="C80" s="68" t="s">
        <v>690</v>
      </c>
      <c r="D80" s="68" t="s">
        <v>251</v>
      </c>
      <c r="E80" s="68" t="s">
        <v>143</v>
      </c>
      <c r="F80" s="127" t="str">
        <f>HYPERLINK("http://www.iram.ru/iram/index_ru.php","http://www.iram.ru/iram/index_ru.php")</f>
        <v>http://www.iram.ru/iram/index_ru.php</v>
      </c>
      <c r="G80" s="128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8.5" x14ac:dyDescent="0.35">
      <c r="A81" s="19">
        <v>78</v>
      </c>
      <c r="B81" s="17" t="s">
        <v>902</v>
      </c>
      <c r="C81" s="19" t="s">
        <v>690</v>
      </c>
      <c r="D81" s="17" t="s">
        <v>903</v>
      </c>
      <c r="E81" s="19" t="s">
        <v>143</v>
      </c>
      <c r="F81" s="20" t="str">
        <f>HYPERLINK("http://vyborgshipyard.ru/?p=vacancy","http://vyborgshipyard.ru/?p=vacancy")</f>
        <v>http://vyborgshipyard.ru/?p=vacancy</v>
      </c>
      <c r="G81" s="20" t="str">
        <f>HYPERLINK("https://hh.ru/employer/1275379","https://hh.ru/employer/1275379")</f>
        <v>https://hh.ru/employer/1275379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42.5" x14ac:dyDescent="0.35">
      <c r="A82" s="19">
        <v>79</v>
      </c>
      <c r="B82" s="19" t="s">
        <v>420</v>
      </c>
      <c r="C82" s="19" t="s">
        <v>690</v>
      </c>
      <c r="D82" s="19" t="s">
        <v>250</v>
      </c>
      <c r="E82" s="19" t="s">
        <v>143</v>
      </c>
      <c r="F82" s="20" t="str">
        <f>HYPERLINK("http://aviaremont.ru/company/plants/218arz/","http://aviaremont.ru/company/plants/218arz/")</f>
        <v>http://aviaremont.ru/company/plants/218arz/</v>
      </c>
      <c r="G82" s="20" t="str">
        <f>HYPERLINK("https://hh.ru/employer/2223272","https://hh.ru/employer/2223272")</f>
        <v>https://hh.ru/employer/2223272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42.5" x14ac:dyDescent="0.35">
      <c r="A83" s="19">
        <v>80</v>
      </c>
      <c r="B83" s="19" t="s">
        <v>450</v>
      </c>
      <c r="C83" s="19" t="s">
        <v>690</v>
      </c>
      <c r="D83" s="19" t="s">
        <v>451</v>
      </c>
      <c r="E83" s="19" t="s">
        <v>209</v>
      </c>
      <c r="F83" s="20" t="str">
        <f>HYPERLINK("http://energo.rusal.ru/AboutCompany.aspx?kaz","http://energo.rusal.ru/AboutCompany.aspx?kaz")</f>
        <v>http://energo.rusal.ru/AboutCompany.aspx?kaz</v>
      </c>
      <c r="G83" s="25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42.5" x14ac:dyDescent="0.35">
      <c r="A84" s="19">
        <v>81</v>
      </c>
      <c r="B84" s="19" t="s">
        <v>452</v>
      </c>
      <c r="C84" s="19" t="s">
        <v>692</v>
      </c>
      <c r="D84" s="19" t="s">
        <v>453</v>
      </c>
      <c r="E84" s="19" t="s">
        <v>209</v>
      </c>
      <c r="F84" s="20" t="str">
        <f>HYPERLINK("http://www.iep.kolasc.net.ru/vacancy.php","http://www.iep.kolasc.net.ru/vacancy.php")</f>
        <v>http://www.iep.kolasc.net.ru/vacancy.php</v>
      </c>
      <c r="G84" s="25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70.5" x14ac:dyDescent="0.35">
      <c r="A85" s="19">
        <v>82</v>
      </c>
      <c r="B85" s="39" t="s">
        <v>911</v>
      </c>
      <c r="C85" s="33" t="s">
        <v>692</v>
      </c>
      <c r="D85" s="39" t="s">
        <v>912</v>
      </c>
      <c r="E85" s="19" t="s">
        <v>209</v>
      </c>
      <c r="F85" s="35" t="s">
        <v>913</v>
      </c>
      <c r="G85" s="41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42.5" x14ac:dyDescent="0.35">
      <c r="A86" s="19">
        <v>83</v>
      </c>
      <c r="B86" s="19" t="s">
        <v>915</v>
      </c>
      <c r="C86" s="19" t="s">
        <v>668</v>
      </c>
      <c r="D86" s="19" t="s">
        <v>916</v>
      </c>
      <c r="E86" s="19" t="s">
        <v>526</v>
      </c>
      <c r="F86" s="20" t="str">
        <f>HYPERLINK("http://pskgu.ru/page/ff36930a-ae5b-4568-9879-9e75345e72e6","http://pskgu.ru/page/ff36930a-ae5b-4568-9879-9e75345e72e6")</f>
        <v>http://pskgu.ru/page/ff36930a-ae5b-4568-9879-9e75345e72e6</v>
      </c>
      <c r="G86" s="25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8.5" x14ac:dyDescent="0.35">
      <c r="A87" s="19">
        <v>84</v>
      </c>
      <c r="B87" s="19" t="s">
        <v>525</v>
      </c>
      <c r="C87" s="19" t="s">
        <v>690</v>
      </c>
      <c r="D87" s="19" t="s">
        <v>336</v>
      </c>
      <c r="E87" s="19" t="s">
        <v>526</v>
      </c>
      <c r="F87" s="20" t="str">
        <f>HYPERLINK("http://pskovelectrosvar.ru/vakansii/","http://pskovelectrosvar.ru/vakansii/")</f>
        <v>http://pskovelectrosvar.ru/vakansii/</v>
      </c>
      <c r="G87" s="20" t="str">
        <f>HYPERLINK("https://hh.ru/employer/2097742","https://hh.ru/employer/2097742")</f>
        <v>https://hh.ru/employer/2097742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56.5" x14ac:dyDescent="0.35">
      <c r="A88" s="19">
        <v>85</v>
      </c>
      <c r="B88" s="19" t="s">
        <v>546</v>
      </c>
      <c r="C88" s="19" t="s">
        <v>690</v>
      </c>
      <c r="D88" s="19" t="s">
        <v>547</v>
      </c>
      <c r="E88" s="19" t="s">
        <v>193</v>
      </c>
      <c r="F88" s="20" t="str">
        <f>HYPERLINK("http://www.aemtech.ru/career/job2/vakansii-petrozavodskmash/","http://www.aemtech.ru/career/job2/vakansii-petrozavodskmash/")</f>
        <v>http://www.aemtech.ru/career/job2/vakansii-petrozavodskmash/</v>
      </c>
      <c r="G88" s="25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8.5" x14ac:dyDescent="0.35">
      <c r="A89" s="19">
        <v>86</v>
      </c>
      <c r="B89" s="19" t="s">
        <v>548</v>
      </c>
      <c r="C89" s="19" t="s">
        <v>692</v>
      </c>
      <c r="D89" s="19" t="s">
        <v>549</v>
      </c>
      <c r="E89" s="19" t="s">
        <v>193</v>
      </c>
      <c r="F89" s="20" t="str">
        <f>HYPERLINK("http://igkrc.ru/kontakty/","http://igkrc.ru/kontakty/")</f>
        <v>http://igkrc.ru/kontakty/</v>
      </c>
      <c r="G89" s="25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42.5" x14ac:dyDescent="0.35">
      <c r="A90" s="19">
        <v>87</v>
      </c>
      <c r="B90" s="17" t="s">
        <v>922</v>
      </c>
      <c r="C90" s="19" t="s">
        <v>668</v>
      </c>
      <c r="D90" s="17" t="s">
        <v>923</v>
      </c>
      <c r="E90" s="19" t="s">
        <v>193</v>
      </c>
      <c r="F90" s="20" t="str">
        <f>HYPERLINK("https://petrsu.ru/page/ptoday","https://petrsu.ru/page/ptoday")</f>
        <v>https://petrsu.ru/page/ptoday</v>
      </c>
      <c r="G90" s="25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56.5" x14ac:dyDescent="0.35">
      <c r="A91" s="19">
        <v>88</v>
      </c>
      <c r="B91" s="78" t="s">
        <v>1476</v>
      </c>
      <c r="C91" s="33" t="s">
        <v>692</v>
      </c>
      <c r="D91" s="39" t="s">
        <v>924</v>
      </c>
      <c r="E91" s="19" t="s">
        <v>193</v>
      </c>
      <c r="F91" s="35" t="s">
        <v>925</v>
      </c>
      <c r="G91" s="55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56.5" x14ac:dyDescent="0.35">
      <c r="A92" s="19">
        <v>89</v>
      </c>
      <c r="B92" s="39" t="s">
        <v>926</v>
      </c>
      <c r="C92" s="33" t="s">
        <v>692</v>
      </c>
      <c r="D92" s="39" t="s">
        <v>927</v>
      </c>
      <c r="E92" s="19" t="s">
        <v>193</v>
      </c>
      <c r="F92" s="35" t="s">
        <v>928</v>
      </c>
      <c r="G92" s="55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42.5" x14ac:dyDescent="0.35">
      <c r="A93" s="19">
        <v>90</v>
      </c>
      <c r="B93" s="96" t="s">
        <v>929</v>
      </c>
      <c r="C93" s="123" t="s">
        <v>668</v>
      </c>
      <c r="D93" s="96" t="s">
        <v>930</v>
      </c>
      <c r="E93" s="64" t="s">
        <v>193</v>
      </c>
      <c r="F93" s="125" t="s">
        <v>931</v>
      </c>
      <c r="G93" s="55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s="108" customFormat="1" ht="42.5" x14ac:dyDescent="0.35">
      <c r="A94" s="19">
        <v>91</v>
      </c>
      <c r="B94" s="115" t="s">
        <v>1612</v>
      </c>
      <c r="C94" s="115" t="s">
        <v>734</v>
      </c>
      <c r="D94" s="115" t="s">
        <v>1613</v>
      </c>
      <c r="E94" s="115" t="s">
        <v>193</v>
      </c>
      <c r="F94" s="131" t="s">
        <v>1614</v>
      </c>
      <c r="G94" s="137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8.5" x14ac:dyDescent="0.35">
      <c r="A95" s="19">
        <v>92</v>
      </c>
      <c r="B95" s="68" t="s">
        <v>551</v>
      </c>
      <c r="C95" s="68" t="s">
        <v>690</v>
      </c>
      <c r="D95" s="68" t="s">
        <v>316</v>
      </c>
      <c r="E95" s="68" t="s">
        <v>199</v>
      </c>
      <c r="F95" s="127" t="str">
        <f>HYPERLINK("http://www.rusal.ru/about/35/","http://www.rusal.ru/about/35/")</f>
        <v>http://www.rusal.ru/about/35/</v>
      </c>
      <c r="G95" s="25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8.5" x14ac:dyDescent="0.35">
      <c r="A96" s="19">
        <v>93</v>
      </c>
      <c r="B96" s="64" t="s">
        <v>626</v>
      </c>
      <c r="C96" s="64" t="s">
        <v>692</v>
      </c>
      <c r="D96" s="64" t="s">
        <v>317</v>
      </c>
      <c r="E96" s="64" t="s">
        <v>199</v>
      </c>
      <c r="F96" s="20" t="str">
        <f>HYPERLINK("http://www.komisc.ru/about/phones","http://www.komisc.ru/about/phones")</f>
        <v>http://www.komisc.ru/about/phones</v>
      </c>
      <c r="G96" s="25"/>
      <c r="H96" s="37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56.5" x14ac:dyDescent="0.35">
      <c r="A97" s="19">
        <v>94</v>
      </c>
      <c r="B97" s="19" t="s">
        <v>934</v>
      </c>
      <c r="C97" s="19" t="s">
        <v>668</v>
      </c>
      <c r="D97" s="19" t="s">
        <v>935</v>
      </c>
      <c r="E97" s="19" t="s">
        <v>199</v>
      </c>
      <c r="F97" s="20" t="str">
        <f>HYPERLINK("http://www.syktsu.ru/sveden/struct/","http://www.syktsu.ru/sveden/struct/")</f>
        <v>http://www.syktsu.ru/sveden/struct/</v>
      </c>
      <c r="G97" s="25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42.5" x14ac:dyDescent="0.35">
      <c r="A98" s="19">
        <v>95</v>
      </c>
      <c r="B98" s="77" t="s">
        <v>1477</v>
      </c>
      <c r="C98" s="19" t="s">
        <v>668</v>
      </c>
      <c r="D98" s="65" t="s">
        <v>936</v>
      </c>
      <c r="E98" s="19" t="s">
        <v>199</v>
      </c>
      <c r="F98" s="46" t="s">
        <v>937</v>
      </c>
      <c r="G98" s="55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56.5" x14ac:dyDescent="0.35">
      <c r="A99" s="19">
        <v>96</v>
      </c>
      <c r="B99" s="66" t="s">
        <v>938</v>
      </c>
      <c r="C99" s="67" t="s">
        <v>690</v>
      </c>
      <c r="D99" s="68" t="s">
        <v>939</v>
      </c>
      <c r="E99" s="66" t="s">
        <v>940</v>
      </c>
      <c r="F99" s="20" t="str">
        <f>HYPERLINK("http://www.bashneft.ru/company/career/vacancy/?id=2479","http://www.bashneft.ru/company/career/vacancy/?id=2479")</f>
        <v>http://www.bashneft.ru/company/career/vacancy/?id=2479</v>
      </c>
      <c r="G99" s="20" t="str">
        <f>HYPERLINK("https://hh.ru/employer/806209","https://hh.ru/employer/806209")</f>
        <v>https://hh.ru/employer/806209</v>
      </c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s="99" customFormat="1" x14ac:dyDescent="0.35">
      <c r="A100" s="104"/>
      <c r="B100" s="105"/>
      <c r="C100" s="104"/>
      <c r="D100" s="105"/>
      <c r="E100" s="104"/>
      <c r="F100" s="106"/>
      <c r="G100" s="106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</row>
    <row r="101" spans="1:26" x14ac:dyDescent="0.35">
      <c r="A101" s="70"/>
      <c r="B101" s="1"/>
      <c r="C101" s="1"/>
      <c r="D101" s="1"/>
      <c r="E101" s="70"/>
      <c r="F101" s="15"/>
      <c r="G101" s="15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3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3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3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3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3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3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3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3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3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3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3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3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3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3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3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3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3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3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3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3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3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3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3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3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3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3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3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3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3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3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3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3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3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3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3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3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3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3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3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3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3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3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3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3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3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3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3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3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3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3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3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3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3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3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3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3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3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3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3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3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3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3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3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3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3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3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3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3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3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3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3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3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3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3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3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3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3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3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3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3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3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3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3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3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3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3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3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3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3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3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3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3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3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3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3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3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3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3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3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3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3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3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3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3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3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3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3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3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3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3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3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3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3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3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3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3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3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3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3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3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3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3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3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3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3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3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3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3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3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3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3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3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3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3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3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3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3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3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3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3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3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3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3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3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3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3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3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3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3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3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3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3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3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3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3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3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3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3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3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3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3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3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3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3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3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3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3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3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3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3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3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3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3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3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3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3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3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3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3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3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3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3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3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3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3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3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3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3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3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3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3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3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3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3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3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3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3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3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3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3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3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3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3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3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3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3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3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3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3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3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3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3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3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3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3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3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3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3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3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3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3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3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3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3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3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3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3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3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3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3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3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3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3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3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3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3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3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3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3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3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3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3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3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3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3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3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3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3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3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3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3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3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3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3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3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3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3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3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3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3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3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3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3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3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3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3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3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3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3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3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3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3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3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3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3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3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3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3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3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3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3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3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3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3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3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3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3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3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3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3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3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3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3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3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3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3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3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3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3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3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3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3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3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3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3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3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3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3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3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3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3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3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3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3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3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3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3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3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3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3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3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3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3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3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3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3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3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3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3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3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3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3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3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3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3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3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3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3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3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3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3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3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3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3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3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3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3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3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3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3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3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3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3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3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3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3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3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3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3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3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3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3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3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3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3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3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3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3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3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3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3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3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3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3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3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3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3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3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3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3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3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3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3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3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3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3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3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3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3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3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3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3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3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3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3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3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3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3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3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3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3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3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3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3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3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3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3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3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3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3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3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3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3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3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3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3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3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3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3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3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3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3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3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3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3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3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3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3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3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3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3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3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3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3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3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3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3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3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3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3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3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3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3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3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3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3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3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3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3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3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3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3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3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3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3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3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3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3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3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3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3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3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3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3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3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3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3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3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3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3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3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3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3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3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3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3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3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3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3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3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3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3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3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3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3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3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3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3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3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3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3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3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3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3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3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3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3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3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3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3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3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3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3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3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3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3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3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3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3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3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3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3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3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3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3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3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3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3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3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3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3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3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3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3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3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3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3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3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3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3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3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3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3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3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3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3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3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3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3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3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3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3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3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3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3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3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3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3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3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3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3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3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3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3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3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3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3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3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3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3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3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3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3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3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3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3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3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3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3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3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3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3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3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3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3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3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3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3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3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3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3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3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3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3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3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3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3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3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3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3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3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3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3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3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3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3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3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3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3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3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3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3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3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3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3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3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3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3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3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3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3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3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3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3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3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3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3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3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3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3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3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3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3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3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3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3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3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3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3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3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3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3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3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3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3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3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3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3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3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3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3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3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3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3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3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3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3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3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3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3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3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3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3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3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3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3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3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3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3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3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3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3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3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3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3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3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x14ac:dyDescent="0.3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x14ac:dyDescent="0.3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x14ac:dyDescent="0.3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x14ac:dyDescent="0.3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x14ac:dyDescent="0.3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x14ac:dyDescent="0.3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x14ac:dyDescent="0.3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x14ac:dyDescent="0.3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x14ac:dyDescent="0.3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x14ac:dyDescent="0.3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x14ac:dyDescent="0.3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x14ac:dyDescent="0.3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x14ac:dyDescent="0.3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x14ac:dyDescent="0.3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 x14ac:dyDescent="0.3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 x14ac:dyDescent="0.3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 spans="1:26" x14ac:dyDescent="0.3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</sheetData>
  <mergeCells count="1">
    <mergeCell ref="B1:E1"/>
  </mergeCells>
  <hyperlinks>
    <hyperlink ref="F5" r:id="rId1"/>
    <hyperlink ref="F8" r:id="rId2"/>
    <hyperlink ref="F10" r:id="rId3"/>
    <hyperlink ref="F49" r:id="rId4"/>
    <hyperlink ref="F58" r:id="rId5"/>
    <hyperlink ref="F65" r:id="rId6"/>
    <hyperlink ref="F66" r:id="rId7"/>
    <hyperlink ref="F67" r:id="rId8"/>
    <hyperlink ref="G67" r:id="rId9"/>
    <hyperlink ref="F77" r:id="rId10"/>
    <hyperlink ref="F78" r:id="rId11"/>
    <hyperlink ref="F85" r:id="rId12"/>
    <hyperlink ref="F91" r:id="rId13"/>
    <hyperlink ref="F92" r:id="rId14"/>
    <hyperlink ref="F93" r:id="rId15"/>
    <hyperlink ref="F98" r:id="rId16"/>
    <hyperlink ref="F79" r:id="rId17"/>
    <hyperlink ref="F68" r:id="rId18"/>
    <hyperlink ref="F69" r:id="rId19"/>
    <hyperlink ref="F70" r:id="rId20"/>
    <hyperlink ref="F71" r:id="rId21"/>
    <hyperlink ref="F72" r:id="rId22" display="https://mosoblast.rt.ru/"/>
    <hyperlink ref="G72" r:id="rId23"/>
    <hyperlink ref="F73" r:id="rId24"/>
    <hyperlink ref="F94" r:id="rId25"/>
  </hyperlinks>
  <pageMargins left="0.7" right="0.7" top="0.75" bottom="0.75" header="0.3" footer="0.3"/>
  <pageSetup paperSize="9" orientation="portrait" r:id="rId26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1009"/>
  <sheetViews>
    <sheetView workbookViewId="0">
      <selection activeCell="C93" sqref="C93"/>
    </sheetView>
  </sheetViews>
  <sheetFormatPr defaultColWidth="15.1796875" defaultRowHeight="14.5" x14ac:dyDescent="0.35"/>
  <cols>
    <col min="1" max="1" width="4.36328125" customWidth="1"/>
    <col min="2" max="2" width="62" customWidth="1"/>
    <col min="3" max="3" width="20.81640625" customWidth="1"/>
    <col min="4" max="4" width="28" customWidth="1"/>
    <col min="5" max="5" width="17.1796875" customWidth="1"/>
    <col min="6" max="6" width="20.81640625" customWidth="1"/>
    <col min="7" max="7" width="24.1796875" customWidth="1"/>
    <col min="8" max="18" width="6.6328125" customWidth="1"/>
    <col min="19" max="26" width="13.1796875" customWidth="1"/>
  </cols>
  <sheetData>
    <row r="1" spans="1:26" ht="15.5" x14ac:dyDescent="0.35">
      <c r="A1" s="16"/>
      <c r="B1" s="163" t="s">
        <v>685</v>
      </c>
      <c r="C1" s="164"/>
      <c r="D1" s="164"/>
      <c r="E1" s="16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5" x14ac:dyDescent="0.35">
      <c r="A2" s="16"/>
      <c r="B2" s="3"/>
      <c r="C2" s="3"/>
      <c r="D2" s="3"/>
      <c r="E2" s="1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35">
      <c r="A3" s="6"/>
      <c r="B3" s="100" t="s">
        <v>0</v>
      </c>
      <c r="C3" s="100" t="s">
        <v>708</v>
      </c>
      <c r="D3" s="100" t="s">
        <v>1</v>
      </c>
      <c r="E3" s="100" t="s">
        <v>2</v>
      </c>
      <c r="F3" s="14" t="s">
        <v>707</v>
      </c>
      <c r="G3" s="14" t="s">
        <v>689</v>
      </c>
      <c r="H3" s="38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56.5" x14ac:dyDescent="0.35">
      <c r="A4" s="19">
        <v>1</v>
      </c>
      <c r="B4" s="19" t="s">
        <v>786</v>
      </c>
      <c r="C4" s="19" t="s">
        <v>668</v>
      </c>
      <c r="D4" s="19" t="s">
        <v>3</v>
      </c>
      <c r="E4" s="19" t="s">
        <v>4</v>
      </c>
      <c r="F4" s="20" t="str">
        <f>HYPERLINK("http://www.agmu.ru/about/podrazdeleniia/upravlenie-kadrov/vakansii/","http://www.agmu.ru/about/podrazdeleniia/upravlenie-kadrov/vakansii/")</f>
        <v>http://www.agmu.ru/about/podrazdeleniia/upravlenie-kadrov/vakansii/</v>
      </c>
      <c r="G4" s="25"/>
      <c r="H4" s="3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42.5" x14ac:dyDescent="0.35">
      <c r="A5" s="19">
        <v>2</v>
      </c>
      <c r="B5" s="19" t="s">
        <v>5</v>
      </c>
      <c r="C5" s="19" t="s">
        <v>692</v>
      </c>
      <c r="D5" s="19" t="s">
        <v>6</v>
      </c>
      <c r="E5" s="19" t="s">
        <v>4</v>
      </c>
      <c r="F5" s="20" t="str">
        <f>HYPERLINK("http://frpc.secna.ru/rekvisits.php","http://frpc.secna.ru/rekvisits.php")</f>
        <v>http://frpc.secna.ru/rekvisits.php</v>
      </c>
      <c r="G5" s="25"/>
      <c r="H5" s="3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42.5" x14ac:dyDescent="0.35">
      <c r="A6" s="19">
        <v>3</v>
      </c>
      <c r="B6" s="19" t="s">
        <v>322</v>
      </c>
      <c r="C6" s="19" t="s">
        <v>692</v>
      </c>
      <c r="D6" s="19" t="s">
        <v>312</v>
      </c>
      <c r="E6" s="19" t="s">
        <v>149</v>
      </c>
      <c r="F6" s="20" t="str">
        <f>HYPERLINK("http://gnuniivvs.ru/","http://gnuniivvs.ru/#")</f>
        <v>http://gnuniivvs.ru/#</v>
      </c>
      <c r="G6" s="25"/>
      <c r="H6" s="38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42.5" x14ac:dyDescent="0.35">
      <c r="A7" s="19">
        <v>4</v>
      </c>
      <c r="B7" s="19" t="s">
        <v>793</v>
      </c>
      <c r="C7" s="19" t="s">
        <v>668</v>
      </c>
      <c r="D7" s="19" t="s">
        <v>1482</v>
      </c>
      <c r="E7" s="19" t="s">
        <v>149</v>
      </c>
      <c r="F7" s="20" t="str">
        <f>HYPERLINK("http://zabgu.ru/php/sitemap.php","http://zabgu.ru/php/sitemap.php")</f>
        <v>http://zabgu.ru/php/sitemap.php</v>
      </c>
      <c r="G7" s="25"/>
      <c r="H7" s="38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56.5" x14ac:dyDescent="0.35">
      <c r="A8" s="19">
        <v>5</v>
      </c>
      <c r="B8" s="19" t="s">
        <v>794</v>
      </c>
      <c r="C8" s="19" t="s">
        <v>668</v>
      </c>
      <c r="D8" s="19" t="s">
        <v>1481</v>
      </c>
      <c r="E8" s="19" t="s">
        <v>149</v>
      </c>
      <c r="F8" s="20" t="str">
        <f>HYPERLINK("http://chitgma.ru/","http://chitgma.ru/")</f>
        <v>http://chitgma.ru/</v>
      </c>
      <c r="G8" s="25"/>
      <c r="H8" s="38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42.5" x14ac:dyDescent="0.35">
      <c r="A9" s="19">
        <v>6</v>
      </c>
      <c r="B9" s="19" t="s">
        <v>796</v>
      </c>
      <c r="C9" s="19" t="s">
        <v>690</v>
      </c>
      <c r="D9" s="19" t="s">
        <v>1480</v>
      </c>
      <c r="E9" s="19" t="s">
        <v>149</v>
      </c>
      <c r="F9" s="20" t="str">
        <f>HYPERLINK("http://www.priargunsky.armz.ru/personnel_policy/jobs/","http://www.priargunsky.armz.ru/personnel_policy/jobs/")</f>
        <v>http://www.priargunsky.armz.ru/personnel_policy/jobs/</v>
      </c>
      <c r="G9" s="20" t="str">
        <f>HYPERLINK("https://hh.ru/employer/539794","https://hh.ru/employer/539794")</f>
        <v>https://hh.ru/employer/539794</v>
      </c>
      <c r="H9" s="38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56.5" x14ac:dyDescent="0.35">
      <c r="A10" s="19">
        <v>7</v>
      </c>
      <c r="B10" s="19" t="s">
        <v>800</v>
      </c>
      <c r="C10" s="19" t="s">
        <v>692</v>
      </c>
      <c r="D10" s="19" t="s">
        <v>801</v>
      </c>
      <c r="E10" s="19" t="s">
        <v>149</v>
      </c>
      <c r="F10" s="40" t="s">
        <v>802</v>
      </c>
      <c r="G10" s="41"/>
      <c r="H10" s="38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2.5" x14ac:dyDescent="0.35">
      <c r="A11" s="19">
        <v>8</v>
      </c>
      <c r="B11" s="19" t="s">
        <v>330</v>
      </c>
      <c r="C11" s="19" t="s">
        <v>692</v>
      </c>
      <c r="D11" s="19" t="s">
        <v>332</v>
      </c>
      <c r="E11" s="19" t="s">
        <v>333</v>
      </c>
      <c r="F11" s="20" t="str">
        <f>HYPERLINK("http://health-family.ru/","http://health-family.ru/")</f>
        <v>http://health-family.ru/</v>
      </c>
      <c r="G11" s="25"/>
      <c r="H11" s="3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42.5" x14ac:dyDescent="0.35">
      <c r="A12" s="19">
        <v>9</v>
      </c>
      <c r="B12" s="19" t="s">
        <v>334</v>
      </c>
      <c r="C12" s="19" t="s">
        <v>692</v>
      </c>
      <c r="D12" s="19" t="s">
        <v>335</v>
      </c>
      <c r="E12" s="19" t="s">
        <v>333</v>
      </c>
      <c r="F12" s="20" t="str">
        <f>HYPERLINK("http://isem.irk.ru/institute/contacts.php","http://isem.irk.ru/institute/contacts.php")</f>
        <v>http://isem.irk.ru/institute/contacts.php</v>
      </c>
      <c r="G12" s="25"/>
      <c r="H12" s="38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8.5" x14ac:dyDescent="0.35">
      <c r="A13" s="19">
        <v>10</v>
      </c>
      <c r="B13" s="19" t="s">
        <v>337</v>
      </c>
      <c r="C13" s="19" t="s">
        <v>692</v>
      </c>
      <c r="D13" s="19" t="s">
        <v>338</v>
      </c>
      <c r="E13" s="19" t="s">
        <v>333</v>
      </c>
      <c r="F13" s="20" t="str">
        <f>HYPERLINK("http://www.isc.irk.ru/kont.htm","http://www.isc.irk.ru/kont.htm")</f>
        <v>http://www.isc.irk.ru/kont.htm</v>
      </c>
      <c r="G13" s="25"/>
      <c r="H13" s="38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42.5" x14ac:dyDescent="0.35">
      <c r="A14" s="19">
        <v>11</v>
      </c>
      <c r="B14" s="19" t="s">
        <v>339</v>
      </c>
      <c r="C14" s="19" t="s">
        <v>692</v>
      </c>
      <c r="D14" s="19" t="s">
        <v>338</v>
      </c>
      <c r="E14" s="19" t="s">
        <v>333</v>
      </c>
      <c r="F14" s="20" t="str">
        <f>HYPERLINK("http://www.icc.irk.ru/","http://www.icc.irk.ru/")</f>
        <v>http://www.icc.irk.ru/</v>
      </c>
      <c r="G14" s="25"/>
      <c r="H14" s="38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2.5" x14ac:dyDescent="0.35">
      <c r="A15" s="19">
        <v>12</v>
      </c>
      <c r="B15" s="19" t="s">
        <v>811</v>
      </c>
      <c r="C15" s="19" t="s">
        <v>692</v>
      </c>
      <c r="D15" s="19" t="s">
        <v>812</v>
      </c>
      <c r="E15" s="19" t="s">
        <v>333</v>
      </c>
      <c r="F15" s="20" t="str">
        <f>HYPERLINK("http://sifibr.irk.ru/news/vacancy.html","http://sifibr.irk.ru/news/vacancy.html")</f>
        <v>http://sifibr.irk.ru/news/vacancy.html</v>
      </c>
      <c r="G15" s="25"/>
      <c r="H15" s="38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2.5" x14ac:dyDescent="0.35">
      <c r="A16" s="19">
        <v>13</v>
      </c>
      <c r="B16" s="19" t="s">
        <v>813</v>
      </c>
      <c r="C16" s="19" t="s">
        <v>668</v>
      </c>
      <c r="D16" s="19" t="s">
        <v>1484</v>
      </c>
      <c r="E16" s="19" t="s">
        <v>333</v>
      </c>
      <c r="F16" s="20" t="str">
        <f>HYPERLINK("http://www.istu.edu/structure/56/1538/","http://www.istu.edu/structure/56/1538/")</f>
        <v>http://www.istu.edu/structure/56/1538/</v>
      </c>
      <c r="G16" s="25"/>
      <c r="H16" s="38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90" customHeight="1" x14ac:dyDescent="0.35">
      <c r="A17" s="19">
        <v>14</v>
      </c>
      <c r="B17" s="19" t="s">
        <v>816</v>
      </c>
      <c r="C17" s="19" t="s">
        <v>668</v>
      </c>
      <c r="D17" s="19" t="s">
        <v>1483</v>
      </c>
      <c r="E17" s="19" t="s">
        <v>333</v>
      </c>
      <c r="F17" s="20" t="str">
        <f>HYPERLINK("http://igmapo.ru/","http://igmapo.ru/")</f>
        <v>http://igmapo.ru/</v>
      </c>
      <c r="G17" s="25"/>
      <c r="H17" s="3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8.5" x14ac:dyDescent="0.35">
      <c r="A18" s="19">
        <v>15</v>
      </c>
      <c r="B18" s="19" t="s">
        <v>341</v>
      </c>
      <c r="C18" s="19" t="s">
        <v>690</v>
      </c>
      <c r="D18" s="19" t="s">
        <v>342</v>
      </c>
      <c r="E18" s="19" t="s">
        <v>333</v>
      </c>
      <c r="F18" s="20" t="str">
        <f>HYPERLINK("http://www.ximprom.ru/adres_r.htm","http://www.ximprom.ru/adres_r.htm")</f>
        <v>http://www.ximprom.ru/adres_r.htm</v>
      </c>
      <c r="G18" s="25"/>
      <c r="H18" s="3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56.5" x14ac:dyDescent="0.35">
      <c r="A19" s="19">
        <v>16</v>
      </c>
      <c r="B19" s="19" t="s">
        <v>344</v>
      </c>
      <c r="C19" s="19" t="s">
        <v>690</v>
      </c>
      <c r="D19" s="19" t="s">
        <v>346</v>
      </c>
      <c r="E19" s="19" t="s">
        <v>333</v>
      </c>
      <c r="F19" s="20" t="str">
        <f>HYPERLINK("http://www.mechel.ru/sector/mining/korshunovskij_gok","http://www.mechel.ru/sector/mining/korshunovskij_gok")</f>
        <v>http://www.mechel.ru/sector/mining/korshunovskij_gok</v>
      </c>
      <c r="G19" s="25"/>
      <c r="H19" s="38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8.5" x14ac:dyDescent="0.35">
      <c r="A20" s="19">
        <v>17</v>
      </c>
      <c r="B20" s="19" t="s">
        <v>348</v>
      </c>
      <c r="C20" s="19" t="s">
        <v>690</v>
      </c>
      <c r="D20" s="19" t="s">
        <v>349</v>
      </c>
      <c r="E20" s="19" t="s">
        <v>333</v>
      </c>
      <c r="F20" s="20" t="str">
        <f>HYPERLINK("http://www.rusal.ru/about/43/","http://www.rusal.ru/about/43/")</f>
        <v>http://www.rusal.ru/about/43/</v>
      </c>
      <c r="G20" s="20" t="str">
        <f>HYPERLINK("https://hh.ru/employer/2897","https://hh.ru/employer/2897")</f>
        <v>https://hh.ru/employer/2897</v>
      </c>
      <c r="H20" s="38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2.5" x14ac:dyDescent="0.35">
      <c r="A21" s="19">
        <v>18</v>
      </c>
      <c r="B21" s="19" t="s">
        <v>352</v>
      </c>
      <c r="C21" s="19" t="s">
        <v>692</v>
      </c>
      <c r="D21" s="19" t="s">
        <v>353</v>
      </c>
      <c r="E21" s="19" t="s">
        <v>333</v>
      </c>
      <c r="F21" s="20" t="str">
        <f>HYPERLINK("http://pu-34.ru/zhitelyam/pages/kontakty","http://pu-34.ru/zhitelyam/pages/kontakty")</f>
        <v>http://pu-34.ru/zhitelyam/pages/kontakty</v>
      </c>
      <c r="G21" s="25"/>
      <c r="H21" s="38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2.5" x14ac:dyDescent="0.35">
      <c r="A22" s="19">
        <v>19</v>
      </c>
      <c r="B22" s="19" t="s">
        <v>355</v>
      </c>
      <c r="C22" s="19" t="s">
        <v>690</v>
      </c>
      <c r="D22" s="19" t="s">
        <v>356</v>
      </c>
      <c r="E22" s="19" t="s">
        <v>333</v>
      </c>
      <c r="F22" s="20" t="str">
        <f>HYPERLINK("http://www.rusal.ru/about/42/","http://www.rusal.ru/about/42/")</f>
        <v>http://www.rusal.ru/about/42/</v>
      </c>
      <c r="G22" s="25"/>
      <c r="H22" s="38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56.5" x14ac:dyDescent="0.35">
      <c r="A23" s="19">
        <v>20</v>
      </c>
      <c r="B23" s="19" t="s">
        <v>825</v>
      </c>
      <c r="C23" s="19" t="s">
        <v>692</v>
      </c>
      <c r="D23" s="19" t="s">
        <v>826</v>
      </c>
      <c r="E23" s="19" t="s">
        <v>333</v>
      </c>
      <c r="F23" s="35" t="s">
        <v>827</v>
      </c>
      <c r="G23" s="41"/>
      <c r="H23" s="38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8.5" x14ac:dyDescent="0.35">
      <c r="A24" s="19">
        <v>21</v>
      </c>
      <c r="B24" s="19" t="s">
        <v>829</v>
      </c>
      <c r="C24" s="19" t="s">
        <v>700</v>
      </c>
      <c r="D24" s="19" t="s">
        <v>830</v>
      </c>
      <c r="E24" s="19" t="s">
        <v>333</v>
      </c>
      <c r="F24" s="46" t="s">
        <v>831</v>
      </c>
      <c r="G24" s="47" t="s">
        <v>834</v>
      </c>
      <c r="H24" s="38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2.5" x14ac:dyDescent="0.35">
      <c r="A25" s="19">
        <v>22</v>
      </c>
      <c r="B25" s="19" t="s">
        <v>368</v>
      </c>
      <c r="C25" s="19" t="s">
        <v>692</v>
      </c>
      <c r="D25" s="19" t="s">
        <v>326</v>
      </c>
      <c r="E25" s="19" t="s">
        <v>129</v>
      </c>
      <c r="F25" s="20" t="str">
        <f>HYPERLINK("http://kemcardio.ru/o-kkcz/","http://kemcardio.ru/o-kkcz/")</f>
        <v>http://kemcardio.ru/o-kkcz/</v>
      </c>
      <c r="G25" s="25"/>
      <c r="H25" s="38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8.5" x14ac:dyDescent="0.35">
      <c r="A26" s="19">
        <v>23</v>
      </c>
      <c r="B26" s="19" t="s">
        <v>370</v>
      </c>
      <c r="C26" s="19" t="s">
        <v>690</v>
      </c>
      <c r="D26" s="19" t="s">
        <v>325</v>
      </c>
      <c r="E26" s="19" t="s">
        <v>129</v>
      </c>
      <c r="F26" s="20" t="str">
        <f>HYPERLINK("http://www.kormz.ru/company/?id=11","http://www.kormz.ru/company/?id=11")</f>
        <v>http://www.kormz.ru/company/?id=11</v>
      </c>
      <c r="G26" s="25"/>
      <c r="H26" s="38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42.5" x14ac:dyDescent="0.35">
      <c r="A27" s="19">
        <v>24</v>
      </c>
      <c r="B27" s="19" t="s">
        <v>839</v>
      </c>
      <c r="C27" s="19" t="s">
        <v>668</v>
      </c>
      <c r="D27" s="19" t="s">
        <v>840</v>
      </c>
      <c r="E27" s="19" t="s">
        <v>129</v>
      </c>
      <c r="F27" s="20" t="str">
        <f>HYPERLINK("http://www.kemsu.ru/pages/contacts","http://www.kemsu.ru/pages/contacts")</f>
        <v>http://www.kemsu.ru/pages/contacts</v>
      </c>
      <c r="G27" s="25"/>
      <c r="H27" s="38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42.5" x14ac:dyDescent="0.35">
      <c r="A28" s="19">
        <v>25</v>
      </c>
      <c r="B28" s="19" t="s">
        <v>843</v>
      </c>
      <c r="C28" s="19" t="s">
        <v>668</v>
      </c>
      <c r="D28" s="19" t="s">
        <v>844</v>
      </c>
      <c r="E28" s="19" t="s">
        <v>129</v>
      </c>
      <c r="F28" s="20" t="str">
        <f>HYPERLINK("http://www.kemtipp.ru/?page=contacts","http://www.kemtipp.ru/?page=contacts")</f>
        <v>http://www.kemtipp.ru/?page=contacts</v>
      </c>
      <c r="G28" s="25"/>
      <c r="H28" s="38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42.5" x14ac:dyDescent="0.35">
      <c r="A29" s="19">
        <v>26</v>
      </c>
      <c r="B29" s="19" t="s">
        <v>371</v>
      </c>
      <c r="C29" s="19" t="s">
        <v>690</v>
      </c>
      <c r="D29" s="19" t="s">
        <v>327</v>
      </c>
      <c r="E29" s="19" t="s">
        <v>129</v>
      </c>
      <c r="F29" s="20" t="str">
        <f>HYPERLINK("http://www.mechel.ru/sector/mining/yuzhnij_kuzbass","http://www.mechel.ru/sector/mining/yuzhnij_kuzbass")</f>
        <v>http://www.mechel.ru/sector/mining/yuzhnij_kuzbass</v>
      </c>
      <c r="G29" s="20" t="str">
        <f>HYPERLINK("http://www.mechel.ru/social_policy/human_capital/","http://www.mechel.ru/social_policy/human_capital/")</f>
        <v>http://www.mechel.ru/social_policy/human_capital/</v>
      </c>
      <c r="H29" s="38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84.5" x14ac:dyDescent="0.35">
      <c r="A30" s="19">
        <v>27</v>
      </c>
      <c r="B30" s="19" t="s">
        <v>845</v>
      </c>
      <c r="C30" s="19" t="s">
        <v>668</v>
      </c>
      <c r="D30" s="19" t="s">
        <v>846</v>
      </c>
      <c r="E30" s="19" t="s">
        <v>129</v>
      </c>
      <c r="F30" s="20" t="str">
        <f>HYPERLINK("http://ngiuv.ru/site_php/php/podrazd/otdelkadrov/main.php","http://ngiuv.ru/site_php/php/podrazd/otdelkadrov/main.php")</f>
        <v>http://ngiuv.ru/site_php/php/podrazd/otdelkadrov/main.php</v>
      </c>
      <c r="G30" s="25"/>
      <c r="H30" s="38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42.5" x14ac:dyDescent="0.35">
      <c r="A31" s="19">
        <v>28</v>
      </c>
      <c r="B31" s="19" t="s">
        <v>372</v>
      </c>
      <c r="C31" s="19" t="s">
        <v>668</v>
      </c>
      <c r="D31" s="19" t="s">
        <v>321</v>
      </c>
      <c r="E31" s="19" t="s">
        <v>129</v>
      </c>
      <c r="F31" s="20" t="str">
        <f>HYPERLINK("http://www.sibsiu.ru/","http://www.sibsiu.ru/")</f>
        <v>http://www.sibsiu.ru/</v>
      </c>
      <c r="G31" s="25"/>
      <c r="H31" s="3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8.5" x14ac:dyDescent="0.35">
      <c r="A32" s="19">
        <v>29</v>
      </c>
      <c r="B32" s="19" t="s">
        <v>373</v>
      </c>
      <c r="C32" s="19" t="s">
        <v>690</v>
      </c>
      <c r="D32" s="19" t="s">
        <v>323</v>
      </c>
      <c r="E32" s="19" t="s">
        <v>129</v>
      </c>
      <c r="F32" s="20" t="str">
        <f>HYPERLINK("http://www.oksshs.ru/#contacts","http://www.oksshs.ru/#contacts")</f>
        <v>http://www.oksshs.ru/#contacts</v>
      </c>
      <c r="G32" s="25"/>
      <c r="H32" s="38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8.5" x14ac:dyDescent="0.35">
      <c r="A33" s="19">
        <v>30</v>
      </c>
      <c r="B33" s="64" t="s">
        <v>375</v>
      </c>
      <c r="C33" s="64" t="s">
        <v>690</v>
      </c>
      <c r="D33" s="64" t="s">
        <v>324</v>
      </c>
      <c r="E33" s="64" t="s">
        <v>129</v>
      </c>
      <c r="F33" s="147" t="str">
        <f>HYPERLINK("http://www.rusal.ru/about/40/","http://www.rusal.ru/about/40/")</f>
        <v>http://www.rusal.ru/about/40/</v>
      </c>
      <c r="G33" s="20" t="str">
        <f>HYPERLINK("https://hh.ru/employer/2897","https://hh.ru/employer/2897")</f>
        <v>https://hh.ru/employer/2897</v>
      </c>
      <c r="H33" s="3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s="108" customFormat="1" ht="70.5" x14ac:dyDescent="0.35">
      <c r="A34" s="19">
        <v>31</v>
      </c>
      <c r="B34" s="115" t="s">
        <v>1622</v>
      </c>
      <c r="C34" s="148" t="s">
        <v>700</v>
      </c>
      <c r="D34" s="115" t="s">
        <v>1623</v>
      </c>
      <c r="E34" s="115" t="s">
        <v>129</v>
      </c>
      <c r="F34" s="131" t="s">
        <v>1624</v>
      </c>
      <c r="G34" s="146"/>
      <c r="H34" s="63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42.5" x14ac:dyDescent="0.35">
      <c r="A35" s="19">
        <v>32</v>
      </c>
      <c r="B35" s="68" t="s">
        <v>855</v>
      </c>
      <c r="C35" s="68" t="s">
        <v>668</v>
      </c>
      <c r="D35" s="68" t="s">
        <v>1485</v>
      </c>
      <c r="E35" s="68" t="s">
        <v>127</v>
      </c>
      <c r="F35" s="127" t="str">
        <f>HYPERLINK("http://www.sibsau.ru/","http://www.sibsau.ru/")</f>
        <v>http://www.sibsau.ru/</v>
      </c>
      <c r="G35" s="25"/>
      <c r="H35" s="38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56.5" x14ac:dyDescent="0.35">
      <c r="A36" s="19">
        <v>33</v>
      </c>
      <c r="B36" s="19" t="s">
        <v>858</v>
      </c>
      <c r="C36" s="19" t="s">
        <v>668</v>
      </c>
      <c r="D36" s="19" t="s">
        <v>859</v>
      </c>
      <c r="E36" s="19" t="s">
        <v>127</v>
      </c>
      <c r="F36" s="20" t="str">
        <f>HYPERLINK("http://krasgmu.ru/index.php?page%5bcommon%5d=org&amp;id=1&amp;cat=job","http://krasgmu.ru/index.php?page[common]=org&amp;id=1&amp;cat=job")</f>
        <v>http://krasgmu.ru/index.php?page[common]=org&amp;id=1&amp;cat=job</v>
      </c>
      <c r="G36" s="25"/>
      <c r="H36" s="38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42.5" x14ac:dyDescent="0.35">
      <c r="A37" s="19">
        <v>34</v>
      </c>
      <c r="B37" s="19" t="s">
        <v>863</v>
      </c>
      <c r="C37" s="19" t="s">
        <v>668</v>
      </c>
      <c r="D37" s="19" t="s">
        <v>864</v>
      </c>
      <c r="E37" s="19" t="s">
        <v>127</v>
      </c>
      <c r="F37" s="20" t="str">
        <f>HYPERLINK("http://www.sfu-kras.ru/","http://www.sfu-kras.ru/")</f>
        <v>http://www.sfu-kras.ru/</v>
      </c>
      <c r="G37" s="25"/>
      <c r="H37" s="3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84.5" x14ac:dyDescent="0.35">
      <c r="A38" s="19">
        <v>35</v>
      </c>
      <c r="B38" s="19" t="s">
        <v>394</v>
      </c>
      <c r="C38" s="19" t="s">
        <v>690</v>
      </c>
      <c r="D38" s="19" t="s">
        <v>395</v>
      </c>
      <c r="E38" s="19" t="s">
        <v>127</v>
      </c>
      <c r="F38" s="20" t="str">
        <f>HYPERLINK("http://www.geotechcom.ru/ru/press-centre/media-publications/media-about-us/oao-eniseygeofizika-tridtsat-let-v-razvedke/","http://www.geotechcom.ru/ru/press-centre/media-publications/media-about-us/oao-eniseygeofizika-tridtsat-let-v-razvedke/")</f>
        <v>http://www.geotechcom.ru/ru/press-centre/media-publications/media-about-us/oao-eniseygeofizika-tridtsat-let-v-razvedke/</v>
      </c>
      <c r="G38" s="25"/>
      <c r="H38" s="3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8.5" x14ac:dyDescent="0.35">
      <c r="A39" s="19">
        <v>36</v>
      </c>
      <c r="B39" s="19" t="s">
        <v>396</v>
      </c>
      <c r="C39" s="19" t="s">
        <v>690</v>
      </c>
      <c r="D39" s="19" t="s">
        <v>398</v>
      </c>
      <c r="E39" s="19" t="s">
        <v>127</v>
      </c>
      <c r="F39" s="20" t="str">
        <f>HYPERLINK("http://www.vami.ru/default.aspx?page=itc","http://www.vami.ru/default.aspx?page=itc")</f>
        <v>http://www.vami.ru/default.aspx?page=itc</v>
      </c>
      <c r="G39" s="25"/>
      <c r="H39" s="38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8.5" x14ac:dyDescent="0.35">
      <c r="A40" s="19">
        <v>37</v>
      </c>
      <c r="B40" s="19" t="s">
        <v>400</v>
      </c>
      <c r="C40" s="19" t="s">
        <v>690</v>
      </c>
      <c r="D40" s="19" t="s">
        <v>401</v>
      </c>
      <c r="E40" s="19" t="s">
        <v>127</v>
      </c>
      <c r="F40" s="20" t="str">
        <f>HYPERLINK("http://www.rusal.ru/about/41/","http://www.rusal.ru/about/41/")</f>
        <v>http://www.rusal.ru/about/41/</v>
      </c>
      <c r="G40" s="20" t="str">
        <f>HYPERLINK("https://hh.ru/employer/2897","https://hh.ru/employer/2897")</f>
        <v>https://hh.ru/employer/2897</v>
      </c>
      <c r="H40" s="38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42.5" x14ac:dyDescent="0.35">
      <c r="A41" s="19">
        <v>38</v>
      </c>
      <c r="B41" s="19" t="s">
        <v>403</v>
      </c>
      <c r="C41" s="19" t="s">
        <v>690</v>
      </c>
      <c r="D41" s="19" t="s">
        <v>404</v>
      </c>
      <c r="E41" s="19" t="s">
        <v>127</v>
      </c>
      <c r="F41" s="20" t="str">
        <f>HYPERLINK("http://www.krasm.com/personnel/personnel.aspx?ItemId=40","http://www.krasm.com/personnel/personnel.aspx?ItemId=40")</f>
        <v>http://www.krasm.com/personnel/personnel.aspx?ItemId=40</v>
      </c>
      <c r="G41" s="25"/>
      <c r="H41" s="38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42.5" x14ac:dyDescent="0.35">
      <c r="A42" s="19">
        <v>39</v>
      </c>
      <c r="B42" s="19" t="s">
        <v>406</v>
      </c>
      <c r="C42" s="19" t="s">
        <v>690</v>
      </c>
      <c r="D42" s="19" t="s">
        <v>409</v>
      </c>
      <c r="E42" s="19" t="s">
        <v>127</v>
      </c>
      <c r="F42" s="20" t="str">
        <f>HYPERLINK("http://www.rusal.ru/about/27/","http://www.rusal.ru/about/27/")</f>
        <v>http://www.rusal.ru/about/27/</v>
      </c>
      <c r="G42" s="20" t="str">
        <f>HYPERLINK("https://hh.ru/employer/2897","https://hh.ru/employer/2897")</f>
        <v>https://hh.ru/employer/2897</v>
      </c>
      <c r="H42" s="38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8.5" x14ac:dyDescent="0.35">
      <c r="A43" s="19">
        <v>40</v>
      </c>
      <c r="B43" s="19" t="s">
        <v>410</v>
      </c>
      <c r="C43" s="19" t="s">
        <v>690</v>
      </c>
      <c r="D43" s="19" t="s">
        <v>411</v>
      </c>
      <c r="E43" s="19" t="s">
        <v>127</v>
      </c>
      <c r="F43" s="20" t="str">
        <f>HYPERLINK("http://www.iss-reshetnev.ru/about","http://www.iss-reshetnev.ru/about")</f>
        <v>http://www.iss-reshetnev.ru/about</v>
      </c>
      <c r="G43" s="25"/>
      <c r="H43" s="38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8.5" x14ac:dyDescent="0.35">
      <c r="A44" s="19">
        <v>41</v>
      </c>
      <c r="B44" s="19" t="s">
        <v>887</v>
      </c>
      <c r="C44" s="19" t="s">
        <v>690</v>
      </c>
      <c r="D44" s="19" t="s">
        <v>889</v>
      </c>
      <c r="E44" s="19" t="s">
        <v>127</v>
      </c>
      <c r="F44" s="20" t="str">
        <f>HYPERLINK("http://www.nordstar.ru/about/company/","http://www.nordstar.ru/about/company/")</f>
        <v>http://www.nordstar.ru/about/company/</v>
      </c>
      <c r="G44" s="25"/>
      <c r="H44" s="38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8.5" x14ac:dyDescent="0.35">
      <c r="A45" s="19">
        <v>42</v>
      </c>
      <c r="B45" s="64" t="s">
        <v>892</v>
      </c>
      <c r="C45" s="64" t="s">
        <v>690</v>
      </c>
      <c r="D45" s="64" t="s">
        <v>893</v>
      </c>
      <c r="E45" s="64" t="s">
        <v>127</v>
      </c>
      <c r="F45" s="144"/>
      <c r="G45" s="60"/>
      <c r="H45" s="63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s="108" customFormat="1" ht="56.5" x14ac:dyDescent="0.35">
      <c r="A46" s="19">
        <v>43</v>
      </c>
      <c r="B46" s="115" t="s">
        <v>1619</v>
      </c>
      <c r="C46" s="115" t="s">
        <v>690</v>
      </c>
      <c r="D46" s="115" t="s">
        <v>1620</v>
      </c>
      <c r="E46" s="115" t="s">
        <v>127</v>
      </c>
      <c r="F46" s="131" t="s">
        <v>1621</v>
      </c>
      <c r="G46" s="143"/>
      <c r="H46" s="63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42.5" x14ac:dyDescent="0.35">
      <c r="A47" s="19">
        <v>44</v>
      </c>
      <c r="B47" s="68" t="s">
        <v>467</v>
      </c>
      <c r="C47" s="68" t="s">
        <v>690</v>
      </c>
      <c r="D47" s="68" t="s">
        <v>468</v>
      </c>
      <c r="E47" s="68" t="s">
        <v>469</v>
      </c>
      <c r="F47" s="145" t="s">
        <v>901</v>
      </c>
      <c r="G47" s="25"/>
      <c r="H47" s="63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42.5" x14ac:dyDescent="0.35">
      <c r="A48" s="19">
        <v>45</v>
      </c>
      <c r="B48" s="19" t="s">
        <v>470</v>
      </c>
      <c r="C48" s="19" t="s">
        <v>690</v>
      </c>
      <c r="D48" s="19" t="s">
        <v>471</v>
      </c>
      <c r="E48" s="19" t="s">
        <v>469</v>
      </c>
      <c r="F48" s="20" t="str">
        <f>HYPERLINK("http://ru.nevz.ru/vacancies/","http://ru.nevz.ru/vacancies/")</f>
        <v>http://ru.nevz.ru/vacancies/</v>
      </c>
      <c r="G48" s="25"/>
      <c r="H48" s="38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42.5" x14ac:dyDescent="0.35">
      <c r="A49" s="19">
        <v>46</v>
      </c>
      <c r="B49" s="19" t="s">
        <v>904</v>
      </c>
      <c r="C49" s="19" t="s">
        <v>690</v>
      </c>
      <c r="D49" s="19" t="s">
        <v>905</v>
      </c>
      <c r="E49" s="19" t="s">
        <v>469</v>
      </c>
      <c r="F49" s="20" t="str">
        <f>HYPERLINK("http://www.npzoptics.ru/vacancies/","http://www.npzoptics.ru/vacancies/")</f>
        <v>http://www.npzoptics.ru/vacancies/</v>
      </c>
      <c r="G49" s="25"/>
      <c r="H49" s="38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8.5" x14ac:dyDescent="0.35">
      <c r="A50" s="19">
        <v>47</v>
      </c>
      <c r="B50" s="19" t="s">
        <v>908</v>
      </c>
      <c r="C50" s="19" t="s">
        <v>690</v>
      </c>
      <c r="D50" s="19" t="s">
        <v>1486</v>
      </c>
      <c r="E50" s="19" t="s">
        <v>469</v>
      </c>
      <c r="F50" s="20" t="str">
        <f>HYPERLINK("https://www.napo.ru/?page_id=39","https://www.napo.ru/?page_id=39")</f>
        <v>https://www.napo.ru/?page_id=39</v>
      </c>
      <c r="G50" s="20" t="str">
        <f>HYPERLINK("https://hh.ru/employer/3471","https://hh.ru/employer/3471")</f>
        <v>https://hh.ru/employer/3471</v>
      </c>
      <c r="H50" s="38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8.5" x14ac:dyDescent="0.35">
      <c r="A51" s="19">
        <v>48</v>
      </c>
      <c r="B51" s="19" t="s">
        <v>473</v>
      </c>
      <c r="C51" s="19" t="s">
        <v>690</v>
      </c>
      <c r="D51" s="19" t="s">
        <v>474</v>
      </c>
      <c r="E51" s="19" t="s">
        <v>469</v>
      </c>
      <c r="F51" s="20" t="str">
        <f>HYPERLINK("http://www.posever.ru/vakansii","http://www.posever.ru/vakansii")</f>
        <v>http://www.posever.ru/vakansii</v>
      </c>
      <c r="G51" s="25"/>
      <c r="H51" s="38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42.5" x14ac:dyDescent="0.35">
      <c r="A52" s="19">
        <v>49</v>
      </c>
      <c r="B52" s="19" t="s">
        <v>475</v>
      </c>
      <c r="C52" s="19" t="s">
        <v>668</v>
      </c>
      <c r="D52" s="19" t="s">
        <v>914</v>
      </c>
      <c r="E52" s="19" t="s">
        <v>469</v>
      </c>
      <c r="F52" s="20" t="str">
        <f>HYPERLINK("http://www.iae.nsk.su/index.php/ru/","http://www.iae.nsk.su/index.php/ru/")</f>
        <v>http://www.iae.nsk.su/index.php/ru/</v>
      </c>
      <c r="G52" s="20" t="str">
        <f>HYPERLINK("https://hh.ru/employer/1732860","https://hh.ru/employer/1732860")</f>
        <v>https://hh.ru/employer/1732860</v>
      </c>
      <c r="H52" s="38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42.5" x14ac:dyDescent="0.35">
      <c r="A53" s="19">
        <v>50</v>
      </c>
      <c r="B53" s="19" t="s">
        <v>919</v>
      </c>
      <c r="C53" s="19" t="s">
        <v>668</v>
      </c>
      <c r="D53" s="19" t="s">
        <v>1487</v>
      </c>
      <c r="E53" s="19" t="s">
        <v>469</v>
      </c>
      <c r="F53" s="20" t="str">
        <f>HYPERLINK("http://www.nsu.ru/contacts","http://www.nsu.ru/contacts")</f>
        <v>http://www.nsu.ru/contacts</v>
      </c>
      <c r="G53" s="20" t="str">
        <f>HYPERLINK("https://hh.ru/employer/1144831","https://hh.ru/employer/1144831")</f>
        <v>https://hh.ru/employer/1144831</v>
      </c>
      <c r="H53" s="38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42.5" x14ac:dyDescent="0.35">
      <c r="A54" s="19">
        <v>51</v>
      </c>
      <c r="B54" s="19" t="s">
        <v>478</v>
      </c>
      <c r="C54" s="19" t="s">
        <v>692</v>
      </c>
      <c r="D54" s="19" t="s">
        <v>476</v>
      </c>
      <c r="E54" s="19" t="s">
        <v>469</v>
      </c>
      <c r="F54" s="20" t="str">
        <f>HYPERLINK("http://www.hydro.nsc.ru/vacancy/","http://www.hydro.nsc.ru/vacancy/")</f>
        <v>http://www.hydro.nsc.ru/vacancy/</v>
      </c>
      <c r="G54" s="25"/>
      <c r="H54" s="38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8.5" x14ac:dyDescent="0.35">
      <c r="A55" s="19">
        <v>52</v>
      </c>
      <c r="B55" s="19" t="s">
        <v>480</v>
      </c>
      <c r="C55" s="19" t="s">
        <v>692</v>
      </c>
      <c r="D55" s="19" t="s">
        <v>477</v>
      </c>
      <c r="E55" s="19" t="s">
        <v>469</v>
      </c>
      <c r="F55" s="20" t="str">
        <f>HYPERLINK("http://www.philosophy.nsc.ru/job.html","http://www.philosophy.nsc.ru/job.html")</f>
        <v>http://www.philosophy.nsc.ru/job.html</v>
      </c>
      <c r="G55" s="25"/>
      <c r="H55" s="38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8.5" x14ac:dyDescent="0.35">
      <c r="A56" s="19">
        <v>53</v>
      </c>
      <c r="B56" s="19" t="s">
        <v>482</v>
      </c>
      <c r="C56" s="19" t="s">
        <v>692</v>
      </c>
      <c r="D56" s="19" t="s">
        <v>477</v>
      </c>
      <c r="E56" s="19" t="s">
        <v>469</v>
      </c>
      <c r="F56" s="20" t="str">
        <f>HYPERLINK("http://www.philology.nsc.ru/","http://www.philology.nsc.ru/")</f>
        <v>http://www.philology.nsc.ru/</v>
      </c>
      <c r="G56" s="25"/>
      <c r="H56" s="38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56.5" x14ac:dyDescent="0.35">
      <c r="A57" s="19">
        <v>54</v>
      </c>
      <c r="B57" s="19" t="s">
        <v>932</v>
      </c>
      <c r="C57" s="19" t="s">
        <v>668</v>
      </c>
      <c r="D57" s="19" t="s">
        <v>933</v>
      </c>
      <c r="E57" s="19" t="s">
        <v>469</v>
      </c>
      <c r="F57" s="20" t="str">
        <f>HYPERLINK("http://www.ngmu.ru/job/list/","http://www.ngmu.ru/job/list/")</f>
        <v>http://www.ngmu.ru/job/list/</v>
      </c>
      <c r="G57" s="20" t="str">
        <f>HYPERLINK("https://hh.ru/employer/926738","https://hh.ru/employer/926738")</f>
        <v>https://hh.ru/employer/926738</v>
      </c>
      <c r="H57" s="38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42.5" x14ac:dyDescent="0.35">
      <c r="A58" s="19">
        <v>55</v>
      </c>
      <c r="B58" s="19" t="s">
        <v>483</v>
      </c>
      <c r="C58" s="19" t="s">
        <v>692</v>
      </c>
      <c r="D58" s="19" t="s">
        <v>481</v>
      </c>
      <c r="E58" s="19" t="s">
        <v>469</v>
      </c>
      <c r="F58" s="20" t="str">
        <f>HYPERLINK("http://www.misd.ru/vacancies/","http://www.misd.ru/vacancies/")</f>
        <v>http://www.misd.ru/vacancies/</v>
      </c>
      <c r="G58" s="20" t="str">
        <f>HYPERLINK("https://novosibirsk.hh.ru/employer/2132351","https://novosibirsk.hh.ru/employer/2132351")</f>
        <v>https://novosibirsk.hh.ru/employer/2132351</v>
      </c>
      <c r="H58" s="38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42.5" x14ac:dyDescent="0.35">
      <c r="A59" s="19">
        <v>56</v>
      </c>
      <c r="B59" s="19" t="s">
        <v>487</v>
      </c>
      <c r="C59" s="19" t="s">
        <v>668</v>
      </c>
      <c r="D59" s="19" t="s">
        <v>472</v>
      </c>
      <c r="E59" s="19" t="s">
        <v>469</v>
      </c>
      <c r="F59" s="20" t="str">
        <f>HYPERLINK("http://nstu.ru/","http://nstu.ru/")</f>
        <v>http://nstu.ru/</v>
      </c>
      <c r="G59" s="20" t="str">
        <f>HYPERLINK("https://hh.ru/employer/1397855","https://hh.ru/employer/1397855")</f>
        <v>https://hh.ru/employer/1397855</v>
      </c>
      <c r="H59" s="38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8.5" x14ac:dyDescent="0.35">
      <c r="A60" s="19">
        <v>57</v>
      </c>
      <c r="B60" s="19" t="s">
        <v>941</v>
      </c>
      <c r="C60" s="19" t="s">
        <v>690</v>
      </c>
      <c r="D60" s="19" t="s">
        <v>942</v>
      </c>
      <c r="E60" s="19" t="s">
        <v>469</v>
      </c>
      <c r="F60" s="23" t="s">
        <v>943</v>
      </c>
      <c r="G60" s="71"/>
      <c r="H60" s="2"/>
      <c r="I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42.5" x14ac:dyDescent="0.35">
      <c r="A61" s="19">
        <v>58</v>
      </c>
      <c r="B61" s="19" t="s">
        <v>488</v>
      </c>
      <c r="C61" s="19" t="s">
        <v>692</v>
      </c>
      <c r="D61" s="19" t="s">
        <v>479</v>
      </c>
      <c r="E61" s="19" t="s">
        <v>469</v>
      </c>
      <c r="F61" s="20" t="str">
        <f>HYPERLINK("http://www.ievsdv.narod.ru/viz-card-2.html","http://www.ievsdv.narod.ru/viz-card-2.html")</f>
        <v>http://www.ievsdv.narod.ru/viz-card-2.html</v>
      </c>
      <c r="G61" s="25"/>
      <c r="H61" s="38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8.5" x14ac:dyDescent="0.35">
      <c r="A62" s="19">
        <v>59</v>
      </c>
      <c r="B62" s="19" t="s">
        <v>944</v>
      </c>
      <c r="C62" s="19" t="s">
        <v>668</v>
      </c>
      <c r="D62" s="19" t="s">
        <v>945</v>
      </c>
      <c r="E62" s="19" t="s">
        <v>469</v>
      </c>
      <c r="F62" s="72"/>
      <c r="G62" s="25"/>
      <c r="H62" s="38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8.5" x14ac:dyDescent="0.35">
      <c r="A63" s="19">
        <v>60</v>
      </c>
      <c r="B63" s="19" t="s">
        <v>946</v>
      </c>
      <c r="C63" s="19" t="s">
        <v>690</v>
      </c>
      <c r="D63" s="19" t="s">
        <v>947</v>
      </c>
      <c r="E63" s="19" t="s">
        <v>469</v>
      </c>
      <c r="F63" s="46" t="s">
        <v>948</v>
      </c>
      <c r="G63" s="55"/>
      <c r="H63" s="38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8.5" x14ac:dyDescent="0.35">
      <c r="A64" s="19">
        <v>61</v>
      </c>
      <c r="B64" s="19" t="s">
        <v>489</v>
      </c>
      <c r="C64" s="19" t="s">
        <v>690</v>
      </c>
      <c r="D64" s="19" t="s">
        <v>490</v>
      </c>
      <c r="E64" s="19" t="s">
        <v>141</v>
      </c>
      <c r="F64" s="20" t="str">
        <f>HYPERLINK("http://www.omskagregat.ru/vacancies","http://www.omskagregat.ru/vacancies")</f>
        <v>http://www.omskagregat.ru/vacancies</v>
      </c>
      <c r="G64" s="20" t="str">
        <f>HYPERLINK("https://hh.ru/employer/620503","https://hh.ru/employer/620503")</f>
        <v>https://hh.ru/employer/620503</v>
      </c>
      <c r="H64" s="38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56.5" x14ac:dyDescent="0.35">
      <c r="A65" s="19">
        <v>62</v>
      </c>
      <c r="B65" s="19" t="s">
        <v>491</v>
      </c>
      <c r="C65" s="19" t="s">
        <v>692</v>
      </c>
      <c r="D65" s="19" t="s">
        <v>492</v>
      </c>
      <c r="E65" s="19" t="s">
        <v>141</v>
      </c>
      <c r="F65" s="20" t="str">
        <f>HYPERLINK("http://www.иппу.рф/vybory_direktora_ippu_so_ran/","http://www.xn--h1aoaq.xn--p1ai/vybory_direktora_ippu_so_ran/")</f>
        <v>http://www.xn--h1aoaq.xn--p1ai/vybory_direktora_ippu_so_ran/</v>
      </c>
      <c r="G65" s="25"/>
      <c r="H65" s="38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56.5" x14ac:dyDescent="0.35">
      <c r="A66" s="19">
        <v>63</v>
      </c>
      <c r="B66" s="19" t="s">
        <v>951</v>
      </c>
      <c r="C66" s="19" t="s">
        <v>668</v>
      </c>
      <c r="D66" s="19" t="s">
        <v>952</v>
      </c>
      <c r="E66" s="19" t="s">
        <v>141</v>
      </c>
      <c r="F66" s="20" t="str">
        <f>HYPERLINK("http://omsk-osma.ru/kontakty/telefony-i-adresa-podrazdeleniy-omgmu/","http://omsk-osma.ru/kontakty/telefony-i-adresa-podrazdeleniy-omgmu/")</f>
        <v>http://omsk-osma.ru/kontakty/telefony-i-adresa-podrazdeleniy-omgmu/</v>
      </c>
      <c r="G66" s="20" t="str">
        <f>HYPERLINK("https://hh.ru/employer/1376332","https://hh.ru/employer/1376332")</f>
        <v>https://hh.ru/employer/1376332</v>
      </c>
      <c r="H66" s="38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42.5" x14ac:dyDescent="0.35">
      <c r="A67" s="19">
        <v>64</v>
      </c>
      <c r="B67" s="19" t="s">
        <v>955</v>
      </c>
      <c r="C67" s="19" t="s">
        <v>668</v>
      </c>
      <c r="D67" s="19" t="s">
        <v>1489</v>
      </c>
      <c r="E67" s="19" t="s">
        <v>141</v>
      </c>
      <c r="F67" s="20" t="str">
        <f>HYPERLINK("http://www.omgups.ru/sveden/common/index.html#1","http://www.omgups.ru/sveden/common/index.html#1")</f>
        <v>http://www.omgups.ru/sveden/common/index.html#1</v>
      </c>
      <c r="G67" s="25"/>
      <c r="H67" s="38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42.5" x14ac:dyDescent="0.35">
      <c r="A68" s="19">
        <v>65</v>
      </c>
      <c r="B68" s="19" t="s">
        <v>493</v>
      </c>
      <c r="C68" s="19" t="s">
        <v>668</v>
      </c>
      <c r="D68" s="19" t="s">
        <v>494</v>
      </c>
      <c r="E68" s="19" t="s">
        <v>141</v>
      </c>
      <c r="F68" s="20" t="str">
        <f>HYPERLINK("http://www.omgtu.ru/","http://www.omgtu.ru/")</f>
        <v>http://www.omgtu.ru/</v>
      </c>
      <c r="G68" s="25"/>
      <c r="H68" s="38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42.5" x14ac:dyDescent="0.35">
      <c r="A69" s="19">
        <v>66</v>
      </c>
      <c r="B69" s="19" t="s">
        <v>537</v>
      </c>
      <c r="C69" s="19" t="s">
        <v>692</v>
      </c>
      <c r="D69" s="19" t="s">
        <v>538</v>
      </c>
      <c r="E69" s="19" t="s">
        <v>212</v>
      </c>
      <c r="F69" s="20" t="str">
        <f>HYPERLINK("http://burniish.ru/about-us/vacancies/","http://burniish.ru/about-us/vacancies/")</f>
        <v>http://burniish.ru/about-us/vacancies/</v>
      </c>
      <c r="G69" s="25"/>
      <c r="H69" s="38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8.5" x14ac:dyDescent="0.35">
      <c r="A70" s="19">
        <v>67</v>
      </c>
      <c r="B70" s="19" t="s">
        <v>539</v>
      </c>
      <c r="C70" s="19" t="s">
        <v>692</v>
      </c>
      <c r="D70" s="19" t="s">
        <v>540</v>
      </c>
      <c r="E70" s="19" t="s">
        <v>212</v>
      </c>
      <c r="F70" s="20" t="str">
        <f>HYPERLINK("http://geo.stbur.ru/index.php?pg=contest","http://geo.stbur.ru/index.php?pg=contest")</f>
        <v>http://geo.stbur.ru/index.php?pg=contest</v>
      </c>
      <c r="G70" s="25"/>
      <c r="H70" s="38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56.5" x14ac:dyDescent="0.35">
      <c r="A71" s="19">
        <v>68</v>
      </c>
      <c r="B71" s="19" t="s">
        <v>959</v>
      </c>
      <c r="C71" s="19" t="s">
        <v>692</v>
      </c>
      <c r="D71" s="19" t="s">
        <v>960</v>
      </c>
      <c r="E71" s="19" t="s">
        <v>212</v>
      </c>
      <c r="F71" s="35" t="s">
        <v>961</v>
      </c>
      <c r="G71" s="55"/>
      <c r="H71" s="38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8.5" x14ac:dyDescent="0.35">
      <c r="A72" s="19">
        <v>69</v>
      </c>
      <c r="B72" s="19" t="s">
        <v>962</v>
      </c>
      <c r="C72" s="19" t="s">
        <v>690</v>
      </c>
      <c r="D72" s="19" t="s">
        <v>963</v>
      </c>
      <c r="E72" s="19" t="s">
        <v>212</v>
      </c>
      <c r="F72" s="58"/>
      <c r="G72" s="26"/>
      <c r="H72" s="38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8.5" x14ac:dyDescent="0.35">
      <c r="A73" s="19">
        <v>70</v>
      </c>
      <c r="B73" s="19" t="s">
        <v>586</v>
      </c>
      <c r="C73" s="19" t="s">
        <v>690</v>
      </c>
      <c r="D73" s="19" t="s">
        <v>587</v>
      </c>
      <c r="E73" s="19" t="s">
        <v>222</v>
      </c>
      <c r="F73" s="20" t="str">
        <f>HYPERLINK("http://www.rusal.ru/about/4/","http://www.rusal.ru/about/4/")</f>
        <v>http://www.rusal.ru/about/4/</v>
      </c>
      <c r="G73" s="20" t="str">
        <f>HYPERLINK("https://hh.ru/employer/2897","https://hh.ru/employer/2897")</f>
        <v>https://hh.ru/employer/2897</v>
      </c>
      <c r="H73" s="38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42.5" x14ac:dyDescent="0.35">
      <c r="A74" s="19">
        <v>71</v>
      </c>
      <c r="B74" s="19" t="s">
        <v>966</v>
      </c>
      <c r="C74" s="19" t="s">
        <v>668</v>
      </c>
      <c r="D74" s="19" t="s">
        <v>967</v>
      </c>
      <c r="E74" s="19" t="s">
        <v>51</v>
      </c>
      <c r="F74" s="20" t="str">
        <f>HYPERLINK("http://www.tsuab.ru/ru/","http://www.tsuab.ru/ru/")</f>
        <v>http://www.tsuab.ru/ru/</v>
      </c>
      <c r="G74" s="20" t="str">
        <f>HYPERLINK("https://hh.ru/employer/1774071","https://hh.ru/employer/1774071")</f>
        <v>https://hh.ru/employer/1774071</v>
      </c>
      <c r="H74" s="38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42.5" x14ac:dyDescent="0.35">
      <c r="A75" s="19">
        <v>72</v>
      </c>
      <c r="B75" s="19" t="s">
        <v>968</v>
      </c>
      <c r="C75" s="19" t="s">
        <v>690</v>
      </c>
      <c r="D75" s="19" t="s">
        <v>969</v>
      </c>
      <c r="E75" s="19" t="s">
        <v>51</v>
      </c>
      <c r="F75" s="20" t="str">
        <f>HYPERLINK("http://tdsk.tomsk.ru/about/","http://tdsk.tomsk.ru/about/")</f>
        <v>http://tdsk.tomsk.ru/about/</v>
      </c>
      <c r="G75" s="20" t="str">
        <f>HYPERLINK("https://tomsk.hh.ru/employer/1184629","https://tomsk.hh.ru/employer/1184629")</f>
        <v>https://tomsk.hh.ru/employer/1184629</v>
      </c>
      <c r="H75" s="38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8.5" x14ac:dyDescent="0.35">
      <c r="A76" s="19">
        <v>73</v>
      </c>
      <c r="B76" s="19" t="s">
        <v>628</v>
      </c>
      <c r="C76" s="19" t="s">
        <v>690</v>
      </c>
      <c r="D76" s="19" t="s">
        <v>629</v>
      </c>
      <c r="E76" s="19" t="s">
        <v>51</v>
      </c>
      <c r="F76" s="20" t="str">
        <f>HYPERLINK("http://tomlesdrev.ru/feedback/","http://tomlesdrev.ru/feedback/")</f>
        <v>http://tomlesdrev.ru/feedback/</v>
      </c>
      <c r="G76" s="20" t="str">
        <f>HYPERLINK("https://hh.ru/employer/1062767","https://hh.ru/employer/1062767")</f>
        <v>https://hh.ru/employer/1062767</v>
      </c>
      <c r="H76" s="38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42.5" x14ac:dyDescent="0.35">
      <c r="A77" s="19">
        <v>74</v>
      </c>
      <c r="B77" s="19" t="s">
        <v>970</v>
      </c>
      <c r="C77" s="19" t="s">
        <v>700</v>
      </c>
      <c r="D77" s="19" t="s">
        <v>971</v>
      </c>
      <c r="E77" s="19" t="s">
        <v>51</v>
      </c>
      <c r="F77" s="20" t="str">
        <f>HYPERLINK("http://www.artlife.ru/company/contacts.html","http://www.artlife.ru/company/contacts.html")</f>
        <v>http://www.artlife.ru/company/contacts.html</v>
      </c>
      <c r="G77" s="20" t="str">
        <f>HYPERLINK("https://hh.ru/employer/749451","https://hh.ru/employer/749451")</f>
        <v>https://hh.ru/employer/749451</v>
      </c>
      <c r="H77" s="38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8.5" x14ac:dyDescent="0.35">
      <c r="A78" s="19">
        <v>75</v>
      </c>
      <c r="B78" s="19" t="s">
        <v>630</v>
      </c>
      <c r="C78" s="19" t="s">
        <v>692</v>
      </c>
      <c r="D78" s="19" t="s">
        <v>600</v>
      </c>
      <c r="E78" s="19" t="s">
        <v>51</v>
      </c>
      <c r="F78" s="20" t="str">
        <f>HYPERLINK("http://www.niipp.ru/about/vacancy/","http://www.niipp.ru/about/vacancy/")</f>
        <v>http://www.niipp.ru/about/vacancy/</v>
      </c>
      <c r="G78" s="20" t="str">
        <f>HYPERLINK("https://hh.ru/employer/1066567","https://hh.ru/employer/1066567")</f>
        <v>https://hh.ru/employer/1066567</v>
      </c>
      <c r="H78" s="38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8.5" x14ac:dyDescent="0.35">
      <c r="A79" s="19">
        <v>76</v>
      </c>
      <c r="B79" s="19" t="s">
        <v>631</v>
      </c>
      <c r="C79" s="19" t="s">
        <v>692</v>
      </c>
      <c r="D79" s="19" t="s">
        <v>632</v>
      </c>
      <c r="E79" s="19" t="s">
        <v>51</v>
      </c>
      <c r="F79" s="20" t="str">
        <f>HYPERLINK("http://www.micran.ru/about/vacancy/","http://www.micran.ru/about/vacancy/")</f>
        <v>http://www.micran.ru/about/vacancy/</v>
      </c>
      <c r="G79" s="20" t="str">
        <f>HYPERLINK("https://hh.ru/employer/1023318","https://hh.ru/employer/1023318")</f>
        <v>https://hh.ru/employer/1023318</v>
      </c>
      <c r="H79" s="38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56.5" x14ac:dyDescent="0.35">
      <c r="A80" s="19">
        <v>77</v>
      </c>
      <c r="B80" s="19" t="s">
        <v>976</v>
      </c>
      <c r="C80" s="19" t="s">
        <v>668</v>
      </c>
      <c r="D80" s="19" t="s">
        <v>979</v>
      </c>
      <c r="E80" s="19" t="s">
        <v>51</v>
      </c>
      <c r="F80" s="20" t="str">
        <f>HYPERLINK("http://www.ssmu.ru/ru/contacts/","http://www.ssmu.ru/ru/contacts/")</f>
        <v>http://www.ssmu.ru/ru/contacts/</v>
      </c>
      <c r="G80" s="20" t="str">
        <f>HYPERLINK("https://hh.ru/employer/2264263","https://hh.ru/employer/2264263")</f>
        <v>https://hh.ru/employer/2264263</v>
      </c>
      <c r="H80" s="38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42.5" x14ac:dyDescent="0.35">
      <c r="A81" s="19">
        <v>78</v>
      </c>
      <c r="B81" s="19" t="s">
        <v>980</v>
      </c>
      <c r="C81" s="19" t="s">
        <v>668</v>
      </c>
      <c r="D81" s="19" t="s">
        <v>981</v>
      </c>
      <c r="E81" s="19" t="s">
        <v>51</v>
      </c>
      <c r="F81" s="20" t="str">
        <f>HYPERLINK("http://tpu.ru/","http://tpu.ru/")</f>
        <v>http://tpu.ru/</v>
      </c>
      <c r="G81" s="20" t="str">
        <f>HYPERLINK("https://hh.ru/employer/860185","https://hh.ru/employer/860185")</f>
        <v>https://hh.ru/employer/860185</v>
      </c>
      <c r="H81" s="38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42.5" x14ac:dyDescent="0.35">
      <c r="A82" s="19">
        <v>79</v>
      </c>
      <c r="B82" s="19" t="s">
        <v>985</v>
      </c>
      <c r="C82" s="19" t="s">
        <v>668</v>
      </c>
      <c r="D82" s="19" t="s">
        <v>987</v>
      </c>
      <c r="E82" s="19" t="s">
        <v>51</v>
      </c>
      <c r="F82" s="20" t="str">
        <f>HYPERLINK("https://tusur.ru/","https://tusur.ru/")</f>
        <v>https://tusur.ru/</v>
      </c>
      <c r="G82" s="25"/>
      <c r="H82" s="38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42.5" x14ac:dyDescent="0.35">
      <c r="A83" s="19">
        <v>80</v>
      </c>
      <c r="B83" s="19" t="s">
        <v>989</v>
      </c>
      <c r="C83" s="19" t="s">
        <v>668</v>
      </c>
      <c r="D83" s="19" t="s">
        <v>990</v>
      </c>
      <c r="E83" s="19" t="s">
        <v>51</v>
      </c>
      <c r="F83" s="20" t="str">
        <f>HYPERLINK("http://www.tsu.ru/","http://www.tsu.ru/")</f>
        <v>http://www.tsu.ru/</v>
      </c>
      <c r="G83" s="20" t="str">
        <f>HYPERLINK("https://hh.ru/employer/2126562","https://hh.ru/employer/2126562")</f>
        <v>https://hh.ru/employer/2126562</v>
      </c>
      <c r="H83" s="38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42.5" x14ac:dyDescent="0.35">
      <c r="A84" s="19">
        <v>81</v>
      </c>
      <c r="B84" s="19" t="s">
        <v>633</v>
      </c>
      <c r="C84" s="19" t="s">
        <v>692</v>
      </c>
      <c r="D84" s="19" t="s">
        <v>604</v>
      </c>
      <c r="E84" s="19" t="s">
        <v>51</v>
      </c>
      <c r="F84" s="20" t="str">
        <f>HYPERLINK("http://www.imces.ru/index.php?rm=news&amp;action=viewArt&amp;cat_id=374","http://www.imces.ru/index.php?rm=news&amp;action=viewArt&amp;cat_id=374")</f>
        <v>http://www.imces.ru/index.php?rm=news&amp;action=viewArt&amp;cat_id=374</v>
      </c>
      <c r="G84" s="25"/>
      <c r="H84" s="38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42.5" x14ac:dyDescent="0.35">
      <c r="A85" s="19">
        <v>82</v>
      </c>
      <c r="B85" s="19" t="s">
        <v>634</v>
      </c>
      <c r="C85" s="19" t="s">
        <v>692</v>
      </c>
      <c r="D85" s="19" t="s">
        <v>605</v>
      </c>
      <c r="E85" s="19" t="s">
        <v>51</v>
      </c>
      <c r="F85" s="20" t="str">
        <f>HYPERLINK("http://www.hcei.tsc.ru/ru/cat/vacancy/vacancy.html","http://www.hcei.tsc.ru/ru/cat/vacancy/vacancy.html")</f>
        <v>http://www.hcei.tsc.ru/ru/cat/vacancy/vacancy.html</v>
      </c>
      <c r="G85" s="25"/>
      <c r="H85" s="38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42.5" x14ac:dyDescent="0.35">
      <c r="A86" s="19">
        <v>83</v>
      </c>
      <c r="B86" s="19" t="s">
        <v>635</v>
      </c>
      <c r="C86" s="19" t="s">
        <v>692</v>
      </c>
      <c r="D86" s="19" t="s">
        <v>607</v>
      </c>
      <c r="E86" s="19" t="s">
        <v>51</v>
      </c>
      <c r="F86" s="20" t="str">
        <f>HYPERLINK("http://www.ispms.ru/ru/51/","http://www.ispms.ru/ru/51/")</f>
        <v>http://www.ispms.ru/ru/51/</v>
      </c>
      <c r="G86" s="25"/>
      <c r="H86" s="38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42.5" x14ac:dyDescent="0.35">
      <c r="A87" s="19">
        <v>84</v>
      </c>
      <c r="B87" s="19" t="s">
        <v>991</v>
      </c>
      <c r="C87" s="19" t="s">
        <v>690</v>
      </c>
      <c r="D87" s="19" t="s">
        <v>1488</v>
      </c>
      <c r="E87" s="19" t="s">
        <v>51</v>
      </c>
      <c r="F87" s="20" t="str">
        <f>HYPERLINK("http://www.elecard.com/ru/company/vacancy.html","http://www.elecard.com/ru/company/vacancy.html")</f>
        <v>http://www.elecard.com/ru/company/vacancy.html</v>
      </c>
      <c r="G87" s="25"/>
      <c r="H87" s="38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42.5" x14ac:dyDescent="0.35">
      <c r="A88" s="19">
        <v>85</v>
      </c>
      <c r="B88" s="19" t="s">
        <v>636</v>
      </c>
      <c r="C88" s="19" t="s">
        <v>692</v>
      </c>
      <c r="D88" s="19" t="s">
        <v>609</v>
      </c>
      <c r="E88" s="19" t="s">
        <v>51</v>
      </c>
      <c r="F88" s="20" t="str">
        <f>HYPERLINK("http://www.perinat.tomsk.ru/11/","http://www.perinat.tomsk.ru/11/")</f>
        <v>http://www.perinat.tomsk.ru/11/</v>
      </c>
      <c r="G88" s="25"/>
      <c r="H88" s="38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42.5" x14ac:dyDescent="0.35">
      <c r="A89" s="19">
        <v>86</v>
      </c>
      <c r="B89" s="19" t="s">
        <v>1479</v>
      </c>
      <c r="C89" s="19" t="s">
        <v>692</v>
      </c>
      <c r="D89" s="19" t="s">
        <v>994</v>
      </c>
      <c r="E89" s="19" t="s">
        <v>51</v>
      </c>
      <c r="F89" s="35" t="s">
        <v>995</v>
      </c>
      <c r="G89" s="55"/>
      <c r="H89" s="38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8.5" x14ac:dyDescent="0.35">
      <c r="A90" s="19">
        <v>87</v>
      </c>
      <c r="B90" s="64" t="s">
        <v>996</v>
      </c>
      <c r="C90" s="64" t="s">
        <v>690</v>
      </c>
      <c r="D90" s="64" t="s">
        <v>997</v>
      </c>
      <c r="E90" s="64" t="s">
        <v>51</v>
      </c>
      <c r="F90" s="122" t="s">
        <v>998</v>
      </c>
      <c r="G90" s="136" t="s">
        <v>999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s="142" customFormat="1" ht="28.5" x14ac:dyDescent="0.35">
      <c r="A91" s="19">
        <v>88</v>
      </c>
      <c r="B91" s="138" t="s">
        <v>1615</v>
      </c>
      <c r="C91" s="138" t="s">
        <v>690</v>
      </c>
      <c r="D91" s="138" t="s">
        <v>1616</v>
      </c>
      <c r="E91" s="138" t="s">
        <v>51</v>
      </c>
      <c r="F91" s="139" t="s">
        <v>1617</v>
      </c>
      <c r="G91" s="140" t="s">
        <v>1618</v>
      </c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</row>
    <row r="92" spans="1:26" x14ac:dyDescent="0.35">
      <c r="A92" s="7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35">
      <c r="A93" s="7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35">
      <c r="A94" s="7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35">
      <c r="A95" s="7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35">
      <c r="A96" s="7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35">
      <c r="A97" s="7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35">
      <c r="A98" s="7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35">
      <c r="A99" s="7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35">
      <c r="A100" s="7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35">
      <c r="A101" s="7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35">
      <c r="A102" s="7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35">
      <c r="A103" s="7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35">
      <c r="A104" s="7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35">
      <c r="A105" s="7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35">
      <c r="A106" s="7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35">
      <c r="A107" s="7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35">
      <c r="A108" s="7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35">
      <c r="A109" s="7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35">
      <c r="A110" s="7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35">
      <c r="A111" s="7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35">
      <c r="A112" s="7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35">
      <c r="A113" s="7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35">
      <c r="A114" s="7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35">
      <c r="A115" s="7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35">
      <c r="A116" s="7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35">
      <c r="A117" s="7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35">
      <c r="A118" s="7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35">
      <c r="A119" s="7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35">
      <c r="A120" s="7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35">
      <c r="A121" s="7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35">
      <c r="A122" s="7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35">
      <c r="A123" s="7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35">
      <c r="A124" s="7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35">
      <c r="A125" s="7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35">
      <c r="A126" s="7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35">
      <c r="A127" s="7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35">
      <c r="A128" s="7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35">
      <c r="A129" s="7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35">
      <c r="A130" s="7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35">
      <c r="A131" s="7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35">
      <c r="A132" s="7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35">
      <c r="A133" s="7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35">
      <c r="A134" s="7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35">
      <c r="A135" s="7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35">
      <c r="A136" s="7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35">
      <c r="A137" s="7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35">
      <c r="A138" s="7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35">
      <c r="A139" s="7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35">
      <c r="A140" s="7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35">
      <c r="A141" s="7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35">
      <c r="A142" s="7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35">
      <c r="A143" s="7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35">
      <c r="A144" s="7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35">
      <c r="A145" s="7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35">
      <c r="A146" s="7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35">
      <c r="A147" s="7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35">
      <c r="A148" s="7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35">
      <c r="A149" s="7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35">
      <c r="A150" s="7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35">
      <c r="A151" s="7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35">
      <c r="A152" s="7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35">
      <c r="A153" s="7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35">
      <c r="A154" s="7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35">
      <c r="A155" s="7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35">
      <c r="A156" s="7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35">
      <c r="A157" s="7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35">
      <c r="A158" s="7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35">
      <c r="A159" s="7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35">
      <c r="A160" s="7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35">
      <c r="A161" s="7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35">
      <c r="A162" s="7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35">
      <c r="A163" s="7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35">
      <c r="A164" s="7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35">
      <c r="A165" s="7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35">
      <c r="A166" s="7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35">
      <c r="A167" s="7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35">
      <c r="A168" s="7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35">
      <c r="A169" s="7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35">
      <c r="A170" s="7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35">
      <c r="A171" s="7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35">
      <c r="A172" s="7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35">
      <c r="A173" s="7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35">
      <c r="A174" s="7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35">
      <c r="A175" s="7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35">
      <c r="A176" s="7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35">
      <c r="A177" s="7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35">
      <c r="A178" s="7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35">
      <c r="A179" s="7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35">
      <c r="A180" s="7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35">
      <c r="A181" s="7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35">
      <c r="A182" s="7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35">
      <c r="A183" s="7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35">
      <c r="A184" s="7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35">
      <c r="A185" s="7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35">
      <c r="A186" s="7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35">
      <c r="A187" s="7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35">
      <c r="A188" s="7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35">
      <c r="A189" s="7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35">
      <c r="A190" s="7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35">
      <c r="A191" s="7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35">
      <c r="A192" s="7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35">
      <c r="A193" s="7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35">
      <c r="A194" s="7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35">
      <c r="A195" s="7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35">
      <c r="A196" s="7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35">
      <c r="A197" s="7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35">
      <c r="A198" s="7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35">
      <c r="A199" s="7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35">
      <c r="A200" s="7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35">
      <c r="A201" s="7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35">
      <c r="A202" s="7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35">
      <c r="A203" s="7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35">
      <c r="A204" s="7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35">
      <c r="A205" s="7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35">
      <c r="A206" s="7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35">
      <c r="A207" s="7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35">
      <c r="A208" s="7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35">
      <c r="A209" s="7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35">
      <c r="A210" s="7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35">
      <c r="A211" s="7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35">
      <c r="A212" s="7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35">
      <c r="A213" s="7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35">
      <c r="A214" s="7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35">
      <c r="A215" s="7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35">
      <c r="A216" s="7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35">
      <c r="A217" s="7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35">
      <c r="A218" s="7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35">
      <c r="A219" s="7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35">
      <c r="A220" s="7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35">
      <c r="A221" s="7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35">
      <c r="A222" s="7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35">
      <c r="A223" s="7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35">
      <c r="A224" s="7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35">
      <c r="A225" s="7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35">
      <c r="A226" s="7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35">
      <c r="A227" s="7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35">
      <c r="A228" s="7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35">
      <c r="A229" s="7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35">
      <c r="A230" s="7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35">
      <c r="A231" s="7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35">
      <c r="A232" s="7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35">
      <c r="A233" s="7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35">
      <c r="A234" s="7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35">
      <c r="A235" s="7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35">
      <c r="A236" s="7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35">
      <c r="A237" s="7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35">
      <c r="A238" s="7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35">
      <c r="A239" s="7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35">
      <c r="A240" s="7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35">
      <c r="A241" s="7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35">
      <c r="A242" s="7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35">
      <c r="A243" s="7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35">
      <c r="A244" s="7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35">
      <c r="A245" s="7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35">
      <c r="A246" s="7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35">
      <c r="A247" s="7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35">
      <c r="A248" s="7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35">
      <c r="A249" s="7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35">
      <c r="A250" s="7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35">
      <c r="A251" s="7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35">
      <c r="A252" s="7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35">
      <c r="A253" s="7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35">
      <c r="A254" s="7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35">
      <c r="A255" s="7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35">
      <c r="A256" s="7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35">
      <c r="A257" s="7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35">
      <c r="A258" s="7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35">
      <c r="A259" s="7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35">
      <c r="A260" s="7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35">
      <c r="A261" s="7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35">
      <c r="A262" s="7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35">
      <c r="A263" s="7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35">
      <c r="A264" s="7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35">
      <c r="A265" s="7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35">
      <c r="A266" s="7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35">
      <c r="A267" s="7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35">
      <c r="A268" s="7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35">
      <c r="A269" s="7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35">
      <c r="A270" s="7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35">
      <c r="A271" s="7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35">
      <c r="A272" s="7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35">
      <c r="A273" s="7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35">
      <c r="A274" s="7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35">
      <c r="A275" s="7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35">
      <c r="A276" s="7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35">
      <c r="A277" s="7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35">
      <c r="A278" s="7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35">
      <c r="A279" s="7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35">
      <c r="A280" s="7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35">
      <c r="A281" s="7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35">
      <c r="A282" s="7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35">
      <c r="A283" s="7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35">
      <c r="A284" s="7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35">
      <c r="A285" s="7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35">
      <c r="A286" s="7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35">
      <c r="A287" s="7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35">
      <c r="A288" s="7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35">
      <c r="A289" s="7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35">
      <c r="A290" s="7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35">
      <c r="A291" s="7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35">
      <c r="A292" s="7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35">
      <c r="A293" s="7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35">
      <c r="A294" s="7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35">
      <c r="A295" s="7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35">
      <c r="A296" s="7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35">
      <c r="A297" s="7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35">
      <c r="A298" s="7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35">
      <c r="A299" s="7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35">
      <c r="A300" s="7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35">
      <c r="A301" s="7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35">
      <c r="A302" s="7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35">
      <c r="A303" s="7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35">
      <c r="A304" s="7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35">
      <c r="A305" s="7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35">
      <c r="A306" s="7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35">
      <c r="A307" s="7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35">
      <c r="A308" s="7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35">
      <c r="A309" s="7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35">
      <c r="A310" s="7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35">
      <c r="A311" s="7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35">
      <c r="A312" s="7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35">
      <c r="A313" s="7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35">
      <c r="A314" s="7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35">
      <c r="A315" s="7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35">
      <c r="A316" s="7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35">
      <c r="A317" s="7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35">
      <c r="A318" s="7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35">
      <c r="A319" s="7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35">
      <c r="A320" s="7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35">
      <c r="A321" s="7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35">
      <c r="A322" s="7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35">
      <c r="A323" s="7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35">
      <c r="A324" s="7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35">
      <c r="A325" s="7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35">
      <c r="A326" s="7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35">
      <c r="A327" s="7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35">
      <c r="A328" s="7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35">
      <c r="A329" s="7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35">
      <c r="A330" s="7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35">
      <c r="A331" s="7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35">
      <c r="A332" s="7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35">
      <c r="A333" s="7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35">
      <c r="A334" s="7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35">
      <c r="A335" s="7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35">
      <c r="A336" s="7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35">
      <c r="A337" s="7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35">
      <c r="A338" s="7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35">
      <c r="A339" s="7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35">
      <c r="A340" s="7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35">
      <c r="A341" s="7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35">
      <c r="A342" s="7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35">
      <c r="A343" s="7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35">
      <c r="A344" s="7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35">
      <c r="A345" s="7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35">
      <c r="A346" s="7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35">
      <c r="A347" s="7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35">
      <c r="A348" s="7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35">
      <c r="A349" s="7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35">
      <c r="A350" s="7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35">
      <c r="A351" s="7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35">
      <c r="A352" s="7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35">
      <c r="A353" s="7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35">
      <c r="A354" s="7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35">
      <c r="A355" s="7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35">
      <c r="A356" s="7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35">
      <c r="A357" s="7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35">
      <c r="A358" s="7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35">
      <c r="A359" s="7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35">
      <c r="A360" s="7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35">
      <c r="A361" s="7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35">
      <c r="A362" s="7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35">
      <c r="A363" s="7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35">
      <c r="A364" s="7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35">
      <c r="A365" s="7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35">
      <c r="A366" s="7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35">
      <c r="A367" s="7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35">
      <c r="A368" s="7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35">
      <c r="A369" s="7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35">
      <c r="A370" s="7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35">
      <c r="A371" s="7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35">
      <c r="A372" s="7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35">
      <c r="A373" s="7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35">
      <c r="A374" s="7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35">
      <c r="A375" s="7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35">
      <c r="A376" s="7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35">
      <c r="A377" s="7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35">
      <c r="A378" s="7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35">
      <c r="A379" s="7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35">
      <c r="A380" s="7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35">
      <c r="A381" s="7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35">
      <c r="A382" s="7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35">
      <c r="A383" s="7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35">
      <c r="A384" s="7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35">
      <c r="A385" s="7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35">
      <c r="A386" s="7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35">
      <c r="A387" s="7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35">
      <c r="A388" s="7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35">
      <c r="A389" s="7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35">
      <c r="A390" s="7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35">
      <c r="A391" s="7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35">
      <c r="A392" s="7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35">
      <c r="A393" s="7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35">
      <c r="A394" s="7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35">
      <c r="A395" s="7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35">
      <c r="A396" s="7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35">
      <c r="A397" s="7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35">
      <c r="A398" s="7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35">
      <c r="A399" s="7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35">
      <c r="A400" s="7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35">
      <c r="A401" s="7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35">
      <c r="A402" s="7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35">
      <c r="A403" s="7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35">
      <c r="A404" s="7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35">
      <c r="A405" s="7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35">
      <c r="A406" s="7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35">
      <c r="A407" s="7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35">
      <c r="A408" s="7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35">
      <c r="A409" s="7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35">
      <c r="A410" s="7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35">
      <c r="A411" s="7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35">
      <c r="A412" s="7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35">
      <c r="A413" s="7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35">
      <c r="A414" s="7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35">
      <c r="A415" s="7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35">
      <c r="A416" s="7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35">
      <c r="A417" s="7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35">
      <c r="A418" s="7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35">
      <c r="A419" s="7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35">
      <c r="A420" s="7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35">
      <c r="A421" s="7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35">
      <c r="A422" s="7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35">
      <c r="A423" s="7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35">
      <c r="A424" s="7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35">
      <c r="A425" s="7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35">
      <c r="A426" s="7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35">
      <c r="A427" s="7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35">
      <c r="A428" s="7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35">
      <c r="A429" s="7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35">
      <c r="A430" s="7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35">
      <c r="A431" s="7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35">
      <c r="A432" s="7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35">
      <c r="A433" s="7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35">
      <c r="A434" s="7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35">
      <c r="A435" s="7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35">
      <c r="A436" s="7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35">
      <c r="A437" s="7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35">
      <c r="A438" s="7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35">
      <c r="A439" s="7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35">
      <c r="A440" s="7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35">
      <c r="A441" s="7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35">
      <c r="A442" s="7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35">
      <c r="A443" s="7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35">
      <c r="A444" s="7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35">
      <c r="A445" s="7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35">
      <c r="A446" s="7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35">
      <c r="A447" s="7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35">
      <c r="A448" s="7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35">
      <c r="A449" s="7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35">
      <c r="A450" s="7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35">
      <c r="A451" s="7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35">
      <c r="A452" s="7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35">
      <c r="A453" s="7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35">
      <c r="A454" s="7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35">
      <c r="A455" s="7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35">
      <c r="A456" s="7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35">
      <c r="A457" s="7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35">
      <c r="A458" s="7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35">
      <c r="A459" s="7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35">
      <c r="A460" s="7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35">
      <c r="A461" s="7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35">
      <c r="A462" s="7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35">
      <c r="A463" s="7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35">
      <c r="A464" s="7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35">
      <c r="A465" s="7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35">
      <c r="A466" s="7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35">
      <c r="A467" s="7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35">
      <c r="A468" s="7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35">
      <c r="A469" s="7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35">
      <c r="A470" s="7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35">
      <c r="A471" s="7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35">
      <c r="A472" s="7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35">
      <c r="A473" s="7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35">
      <c r="A474" s="7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35">
      <c r="A475" s="7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35">
      <c r="A476" s="7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35">
      <c r="A477" s="7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35">
      <c r="A478" s="7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35">
      <c r="A479" s="7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35">
      <c r="A480" s="7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35">
      <c r="A481" s="7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35">
      <c r="A482" s="7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35">
      <c r="A483" s="7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35">
      <c r="A484" s="7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35">
      <c r="A485" s="7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35">
      <c r="A486" s="7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35">
      <c r="A487" s="7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35">
      <c r="A488" s="7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35">
      <c r="A489" s="7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35">
      <c r="A490" s="7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35">
      <c r="A491" s="7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35">
      <c r="A492" s="7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35">
      <c r="A493" s="7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35">
      <c r="A494" s="7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35">
      <c r="A495" s="7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35">
      <c r="A496" s="7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35">
      <c r="A497" s="7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35">
      <c r="A498" s="7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35">
      <c r="A499" s="7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35">
      <c r="A500" s="7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35">
      <c r="A501" s="7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35">
      <c r="A502" s="7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35">
      <c r="A503" s="7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35">
      <c r="A504" s="7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35">
      <c r="A505" s="7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35">
      <c r="A506" s="7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35">
      <c r="A507" s="7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35">
      <c r="A508" s="7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35">
      <c r="A509" s="7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35">
      <c r="A510" s="7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35">
      <c r="A511" s="7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35">
      <c r="A512" s="7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35">
      <c r="A513" s="7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35">
      <c r="A514" s="7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35">
      <c r="A515" s="7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35">
      <c r="A516" s="7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35">
      <c r="A517" s="7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35">
      <c r="A518" s="7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35">
      <c r="A519" s="7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35">
      <c r="A520" s="7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35">
      <c r="A521" s="7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35">
      <c r="A522" s="7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35">
      <c r="A523" s="7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35">
      <c r="A524" s="7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35">
      <c r="A525" s="7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35">
      <c r="A526" s="7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35">
      <c r="A527" s="7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35">
      <c r="A528" s="7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35">
      <c r="A529" s="7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35">
      <c r="A530" s="7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35">
      <c r="A531" s="7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35">
      <c r="A532" s="7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35">
      <c r="A533" s="7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35">
      <c r="A534" s="7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35">
      <c r="A535" s="7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35">
      <c r="A536" s="7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35">
      <c r="A537" s="7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35">
      <c r="A538" s="7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35">
      <c r="A539" s="7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35">
      <c r="A540" s="7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35">
      <c r="A541" s="7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35">
      <c r="A542" s="7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35">
      <c r="A543" s="7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35">
      <c r="A544" s="7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35">
      <c r="A545" s="7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35">
      <c r="A546" s="7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35">
      <c r="A547" s="7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35">
      <c r="A548" s="7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35">
      <c r="A549" s="7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35">
      <c r="A550" s="7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35">
      <c r="A551" s="7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35">
      <c r="A552" s="7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35">
      <c r="A553" s="7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35">
      <c r="A554" s="7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35">
      <c r="A555" s="7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35">
      <c r="A556" s="7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35">
      <c r="A557" s="7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35">
      <c r="A558" s="7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35">
      <c r="A559" s="7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35">
      <c r="A560" s="7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35">
      <c r="A561" s="7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35">
      <c r="A562" s="7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35">
      <c r="A563" s="7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35">
      <c r="A564" s="7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35">
      <c r="A565" s="7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35">
      <c r="A566" s="7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35">
      <c r="A567" s="7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35">
      <c r="A568" s="7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35">
      <c r="A569" s="7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35">
      <c r="A570" s="7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35">
      <c r="A571" s="7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35">
      <c r="A572" s="7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35">
      <c r="A573" s="7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35">
      <c r="A574" s="7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35">
      <c r="A575" s="7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35">
      <c r="A576" s="7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35">
      <c r="A577" s="7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35">
      <c r="A578" s="7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35">
      <c r="A579" s="7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35">
      <c r="A580" s="7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35">
      <c r="A581" s="7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35">
      <c r="A582" s="7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35">
      <c r="A583" s="7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35">
      <c r="A584" s="7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35">
      <c r="A585" s="7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35">
      <c r="A586" s="7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35">
      <c r="A587" s="7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35">
      <c r="A588" s="7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35">
      <c r="A589" s="7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35">
      <c r="A590" s="7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35">
      <c r="A591" s="7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35">
      <c r="A592" s="7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35">
      <c r="A593" s="7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35">
      <c r="A594" s="7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35">
      <c r="A595" s="7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35">
      <c r="A596" s="7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35">
      <c r="A597" s="7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35">
      <c r="A598" s="7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35">
      <c r="A599" s="7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35">
      <c r="A600" s="7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35">
      <c r="A601" s="7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35">
      <c r="A602" s="7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35">
      <c r="A603" s="7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35">
      <c r="A604" s="7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35">
      <c r="A605" s="7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35">
      <c r="A606" s="7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35">
      <c r="A607" s="7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35">
      <c r="A608" s="7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35">
      <c r="A609" s="7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35">
      <c r="A610" s="7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35">
      <c r="A611" s="7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35">
      <c r="A612" s="7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35">
      <c r="A613" s="7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35">
      <c r="A614" s="7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35">
      <c r="A615" s="7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35">
      <c r="A616" s="7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35">
      <c r="A617" s="7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35">
      <c r="A618" s="7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35">
      <c r="A619" s="7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35">
      <c r="A620" s="7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35">
      <c r="A621" s="7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35">
      <c r="A622" s="7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35">
      <c r="A623" s="7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35">
      <c r="A624" s="7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35">
      <c r="A625" s="7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35">
      <c r="A626" s="7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35">
      <c r="A627" s="7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35">
      <c r="A628" s="7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35">
      <c r="A629" s="7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35">
      <c r="A630" s="7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35">
      <c r="A631" s="7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35">
      <c r="A632" s="7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35">
      <c r="A633" s="7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35">
      <c r="A634" s="7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35">
      <c r="A635" s="7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35">
      <c r="A636" s="7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35">
      <c r="A637" s="7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35">
      <c r="A638" s="7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35">
      <c r="A639" s="7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35">
      <c r="A640" s="7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35">
      <c r="A641" s="7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35">
      <c r="A642" s="7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35">
      <c r="A643" s="7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35">
      <c r="A644" s="7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35">
      <c r="A645" s="7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35">
      <c r="A646" s="7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35">
      <c r="A647" s="7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35">
      <c r="A648" s="7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35">
      <c r="A649" s="7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35">
      <c r="A650" s="7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35">
      <c r="A651" s="7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35">
      <c r="A652" s="7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35">
      <c r="A653" s="7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35">
      <c r="A654" s="7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35">
      <c r="A655" s="7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35">
      <c r="A656" s="7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35">
      <c r="A657" s="7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35">
      <c r="A658" s="7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35">
      <c r="A659" s="7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35">
      <c r="A660" s="7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35">
      <c r="A661" s="7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35">
      <c r="A662" s="7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35">
      <c r="A663" s="7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35">
      <c r="A664" s="7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35">
      <c r="A665" s="7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35">
      <c r="A666" s="7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35">
      <c r="A667" s="7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35">
      <c r="A668" s="7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35">
      <c r="A669" s="7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35">
      <c r="A670" s="7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35">
      <c r="A671" s="7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35">
      <c r="A672" s="7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35">
      <c r="A673" s="7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35">
      <c r="A674" s="7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35">
      <c r="A675" s="7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35">
      <c r="A676" s="7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35">
      <c r="A677" s="7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35">
      <c r="A678" s="7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35">
      <c r="A679" s="7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35">
      <c r="A680" s="7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35">
      <c r="A681" s="7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35">
      <c r="A682" s="7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35">
      <c r="A683" s="7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35">
      <c r="A684" s="7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35">
      <c r="A685" s="7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35">
      <c r="A686" s="7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35">
      <c r="A687" s="7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35">
      <c r="A688" s="7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35">
      <c r="A689" s="7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35">
      <c r="A690" s="7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35">
      <c r="A691" s="7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35">
      <c r="A692" s="7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35">
      <c r="A693" s="7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35">
      <c r="A694" s="7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35">
      <c r="A695" s="7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35">
      <c r="A696" s="7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35">
      <c r="A697" s="7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35">
      <c r="A698" s="7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35">
      <c r="A699" s="7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35">
      <c r="A700" s="7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35">
      <c r="A701" s="7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35">
      <c r="A702" s="7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35">
      <c r="A703" s="7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35">
      <c r="A704" s="7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35">
      <c r="A705" s="7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35">
      <c r="A706" s="7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35">
      <c r="A707" s="7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35">
      <c r="A708" s="7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35">
      <c r="A709" s="7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35">
      <c r="A710" s="7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35">
      <c r="A711" s="7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35">
      <c r="A712" s="7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35">
      <c r="A713" s="7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35">
      <c r="A714" s="7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35">
      <c r="A715" s="7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35">
      <c r="A716" s="7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35">
      <c r="A717" s="7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35">
      <c r="A718" s="7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35">
      <c r="A719" s="7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35">
      <c r="A720" s="7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35">
      <c r="A721" s="7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35">
      <c r="A722" s="7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35">
      <c r="A723" s="7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35">
      <c r="A724" s="7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35">
      <c r="A725" s="7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35">
      <c r="A726" s="7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35">
      <c r="A727" s="7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35">
      <c r="A728" s="7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35">
      <c r="A729" s="7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35">
      <c r="A730" s="7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35">
      <c r="A731" s="7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35">
      <c r="A732" s="7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35">
      <c r="A733" s="7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35">
      <c r="A734" s="7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35">
      <c r="A735" s="7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35">
      <c r="A736" s="7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35">
      <c r="A737" s="7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35">
      <c r="A738" s="7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35">
      <c r="A739" s="7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35">
      <c r="A740" s="7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35">
      <c r="A741" s="7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35">
      <c r="A742" s="7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35">
      <c r="A743" s="7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35">
      <c r="A744" s="7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35">
      <c r="A745" s="7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35">
      <c r="A746" s="7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35">
      <c r="A747" s="7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35">
      <c r="A748" s="7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35">
      <c r="A749" s="7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35">
      <c r="A750" s="7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35">
      <c r="A751" s="7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35">
      <c r="A752" s="7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35">
      <c r="A753" s="7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35">
      <c r="A754" s="7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35">
      <c r="A755" s="7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35">
      <c r="A756" s="7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35">
      <c r="A757" s="7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35">
      <c r="A758" s="7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35">
      <c r="A759" s="7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35">
      <c r="A760" s="7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35">
      <c r="A761" s="7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35">
      <c r="A762" s="7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35">
      <c r="A763" s="7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35">
      <c r="A764" s="7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35">
      <c r="A765" s="7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35">
      <c r="A766" s="7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35">
      <c r="A767" s="7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35">
      <c r="A768" s="7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35">
      <c r="A769" s="7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35">
      <c r="A770" s="7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35">
      <c r="A771" s="7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35">
      <c r="A772" s="7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35">
      <c r="A773" s="7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35">
      <c r="A774" s="7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35">
      <c r="A775" s="7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35">
      <c r="A776" s="7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35">
      <c r="A777" s="7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35">
      <c r="A778" s="7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35">
      <c r="A779" s="7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35">
      <c r="A780" s="7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35">
      <c r="A781" s="7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35">
      <c r="A782" s="7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35">
      <c r="A783" s="7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35">
      <c r="A784" s="7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35">
      <c r="A785" s="7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35">
      <c r="A786" s="7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35">
      <c r="A787" s="7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35">
      <c r="A788" s="7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35">
      <c r="A789" s="7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35">
      <c r="A790" s="7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35">
      <c r="A791" s="7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35">
      <c r="A792" s="7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35">
      <c r="A793" s="7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35">
      <c r="A794" s="7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35">
      <c r="A795" s="7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35">
      <c r="A796" s="7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35">
      <c r="A797" s="7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35">
      <c r="A798" s="7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35">
      <c r="A799" s="7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35">
      <c r="A800" s="7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35">
      <c r="A801" s="7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35">
      <c r="A802" s="7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35">
      <c r="A803" s="7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35">
      <c r="A804" s="7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35">
      <c r="A805" s="7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35">
      <c r="A806" s="7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35">
      <c r="A807" s="7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35">
      <c r="A808" s="7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35">
      <c r="A809" s="7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35">
      <c r="A810" s="7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35">
      <c r="A811" s="7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35">
      <c r="A812" s="7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35">
      <c r="A813" s="7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35">
      <c r="A814" s="7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35">
      <c r="A815" s="7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35">
      <c r="A816" s="7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35">
      <c r="A817" s="7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35">
      <c r="A818" s="7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35">
      <c r="A819" s="7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35">
      <c r="A820" s="7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35">
      <c r="A821" s="7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35">
      <c r="A822" s="7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35">
      <c r="A823" s="7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35">
      <c r="A824" s="7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35">
      <c r="A825" s="7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35">
      <c r="A826" s="7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35">
      <c r="A827" s="7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35">
      <c r="A828" s="7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35">
      <c r="A829" s="7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35">
      <c r="A830" s="7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35">
      <c r="A831" s="7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35">
      <c r="A832" s="7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35">
      <c r="A833" s="7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35">
      <c r="A834" s="7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35">
      <c r="A835" s="7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35">
      <c r="A836" s="7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35">
      <c r="A837" s="7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35">
      <c r="A838" s="7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35">
      <c r="A839" s="7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35">
      <c r="A840" s="7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35">
      <c r="A841" s="7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35">
      <c r="A842" s="7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35">
      <c r="A843" s="7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35">
      <c r="A844" s="7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35">
      <c r="A845" s="7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35">
      <c r="A846" s="7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35">
      <c r="A847" s="7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35">
      <c r="A848" s="7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35">
      <c r="A849" s="7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35">
      <c r="A850" s="7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35">
      <c r="A851" s="7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35">
      <c r="A852" s="7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35">
      <c r="A853" s="7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35">
      <c r="A854" s="7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35">
      <c r="A855" s="7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35">
      <c r="A856" s="7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35">
      <c r="A857" s="7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35">
      <c r="A858" s="7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35">
      <c r="A859" s="7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35">
      <c r="A860" s="7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35">
      <c r="A861" s="7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35">
      <c r="A862" s="7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35">
      <c r="A863" s="7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35">
      <c r="A864" s="7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35">
      <c r="A865" s="7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35">
      <c r="A866" s="7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35">
      <c r="A867" s="7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35">
      <c r="A868" s="7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35">
      <c r="A869" s="7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35">
      <c r="A870" s="7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35">
      <c r="A871" s="7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35">
      <c r="A872" s="7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35">
      <c r="A873" s="7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35">
      <c r="A874" s="7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35">
      <c r="A875" s="7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35">
      <c r="A876" s="7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35">
      <c r="A877" s="7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35">
      <c r="A878" s="7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35">
      <c r="A879" s="7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35">
      <c r="A880" s="7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35">
      <c r="A881" s="7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35">
      <c r="A882" s="7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35">
      <c r="A883" s="7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35">
      <c r="A884" s="7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35">
      <c r="A885" s="7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35">
      <c r="A886" s="7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35">
      <c r="A887" s="7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35">
      <c r="A888" s="7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35">
      <c r="A889" s="7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35">
      <c r="A890" s="7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35">
      <c r="A891" s="7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35">
      <c r="A892" s="7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35">
      <c r="A893" s="7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35">
      <c r="A894" s="7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35">
      <c r="A895" s="7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35">
      <c r="A896" s="7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35">
      <c r="A897" s="7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35">
      <c r="A898" s="7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35">
      <c r="A899" s="7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35">
      <c r="A900" s="7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35">
      <c r="A901" s="7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35">
      <c r="A902" s="7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35">
      <c r="A903" s="7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35">
      <c r="A904" s="7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35">
      <c r="A905" s="7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35">
      <c r="A906" s="7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35">
      <c r="A907" s="7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35">
      <c r="A908" s="7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35">
      <c r="A909" s="7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35">
      <c r="A910" s="7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35">
      <c r="A911" s="7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35">
      <c r="A912" s="7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35">
      <c r="A913" s="7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35">
      <c r="A914" s="7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35">
      <c r="A915" s="7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35">
      <c r="A916" s="7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35">
      <c r="A917" s="7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35">
      <c r="A918" s="7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35">
      <c r="A919" s="7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35">
      <c r="A920" s="7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35">
      <c r="A921" s="7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35">
      <c r="A922" s="7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35">
      <c r="A923" s="7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35">
      <c r="A924" s="7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35">
      <c r="A925" s="7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35">
      <c r="A926" s="7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35">
      <c r="A927" s="7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35">
      <c r="A928" s="7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35">
      <c r="A929" s="7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35">
      <c r="A930" s="7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35">
      <c r="A931" s="7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35">
      <c r="A932" s="7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35">
      <c r="A933" s="7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35">
      <c r="A934" s="7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35">
      <c r="A935" s="7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35">
      <c r="A936" s="7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35">
      <c r="A937" s="7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35">
      <c r="A938" s="7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35">
      <c r="A939" s="7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35">
      <c r="A940" s="7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35">
      <c r="A941" s="7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35">
      <c r="A942" s="7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35">
      <c r="A943" s="7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35">
      <c r="A944" s="7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35">
      <c r="A945" s="7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35">
      <c r="A946" s="7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35">
      <c r="A947" s="7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35">
      <c r="A948" s="7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35">
      <c r="A949" s="7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35">
      <c r="A950" s="7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35">
      <c r="A951" s="7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35">
      <c r="A952" s="7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35">
      <c r="A953" s="7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35">
      <c r="A954" s="7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35">
      <c r="A955" s="7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35">
      <c r="A956" s="7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35">
      <c r="A957" s="7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35">
      <c r="A958" s="7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35">
      <c r="A959" s="7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35">
      <c r="A960" s="7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35">
      <c r="A961" s="7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35">
      <c r="A962" s="7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35">
      <c r="A963" s="7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35">
      <c r="A964" s="7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35">
      <c r="A965" s="7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35">
      <c r="A966" s="7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35">
      <c r="A967" s="7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35">
      <c r="A968" s="7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35">
      <c r="A969" s="7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35">
      <c r="A970" s="7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35">
      <c r="A971" s="7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35">
      <c r="A972" s="7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35">
      <c r="A973" s="7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35">
      <c r="A974" s="7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35">
      <c r="A975" s="7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35">
      <c r="A976" s="7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35">
      <c r="A977" s="7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35">
      <c r="A978" s="7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35">
      <c r="A979" s="7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35">
      <c r="A980" s="7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35">
      <c r="A981" s="7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35">
      <c r="A982" s="7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35">
      <c r="A983" s="7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35">
      <c r="A984" s="7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35">
      <c r="A985" s="7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35">
      <c r="A986" s="7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35">
      <c r="A987" s="7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35">
      <c r="A988" s="7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35">
      <c r="A989" s="7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35">
      <c r="A990" s="7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35">
      <c r="A991" s="7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35">
      <c r="A992" s="7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35">
      <c r="A993" s="7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35">
      <c r="A994" s="7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35">
      <c r="A995" s="7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35">
      <c r="A996" s="7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35">
      <c r="A997" s="7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35">
      <c r="A998" s="7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35">
      <c r="A999" s="7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x14ac:dyDescent="0.35">
      <c r="A1000" s="7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x14ac:dyDescent="0.35">
      <c r="A1001" s="7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x14ac:dyDescent="0.35">
      <c r="A1002" s="7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x14ac:dyDescent="0.35">
      <c r="A1003" s="7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x14ac:dyDescent="0.35">
      <c r="A1004" s="7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x14ac:dyDescent="0.35">
      <c r="A1005" s="7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x14ac:dyDescent="0.35">
      <c r="A1006" s="7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x14ac:dyDescent="0.35">
      <c r="A1007" s="73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x14ac:dyDescent="0.35">
      <c r="A1008" s="73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x14ac:dyDescent="0.35">
      <c r="A1009" s="73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</sheetData>
  <mergeCells count="1">
    <mergeCell ref="B1:E1"/>
  </mergeCells>
  <hyperlinks>
    <hyperlink ref="F10" r:id="rId1"/>
    <hyperlink ref="F23" r:id="rId2"/>
    <hyperlink ref="F24" r:id="rId3"/>
    <hyperlink ref="G24" r:id="rId4"/>
    <hyperlink ref="F47" r:id="rId5"/>
    <hyperlink ref="F60" r:id="rId6"/>
    <hyperlink ref="F63" r:id="rId7"/>
    <hyperlink ref="F71" r:id="rId8"/>
    <hyperlink ref="F89" r:id="rId9"/>
    <hyperlink ref="F90" r:id="rId10"/>
    <hyperlink ref="G90" r:id="rId11"/>
    <hyperlink ref="F46" r:id="rId12"/>
    <hyperlink ref="F34" r:id="rId13"/>
  </hyperlink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1010"/>
  <sheetViews>
    <sheetView topLeftCell="A99" zoomScale="85" zoomScaleNormal="85" zoomScalePageLayoutView="85" workbookViewId="0">
      <selection activeCell="B111" sqref="B111"/>
    </sheetView>
  </sheetViews>
  <sheetFormatPr defaultColWidth="15.1796875" defaultRowHeight="14.5" x14ac:dyDescent="0.35"/>
  <cols>
    <col min="1" max="1" width="3.81640625" customWidth="1"/>
    <col min="2" max="2" width="72.36328125" customWidth="1"/>
    <col min="3" max="3" width="24" customWidth="1"/>
    <col min="4" max="4" width="34.453125" customWidth="1"/>
    <col min="5" max="5" width="21.1796875" customWidth="1"/>
    <col min="6" max="6" width="22.453125" customWidth="1"/>
    <col min="7" max="7" width="21.6328125" customWidth="1"/>
    <col min="8" max="8" width="10.81640625" customWidth="1"/>
    <col min="9" max="18" width="6.6328125" customWidth="1"/>
    <col min="19" max="26" width="13.1796875" customWidth="1"/>
  </cols>
  <sheetData>
    <row r="1" spans="1:26" ht="15.5" x14ac:dyDescent="0.35">
      <c r="A1" s="16"/>
      <c r="B1" s="163" t="s">
        <v>666</v>
      </c>
      <c r="C1" s="164"/>
      <c r="D1" s="164"/>
      <c r="E1" s="164"/>
      <c r="F1" s="76"/>
      <c r="G1" s="1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5" x14ac:dyDescent="0.35">
      <c r="A2" s="16"/>
      <c r="B2" s="3"/>
      <c r="C2" s="16"/>
      <c r="D2" s="3"/>
      <c r="E2" s="16"/>
      <c r="F2" s="76"/>
      <c r="G2" s="1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35">
      <c r="A3" s="6"/>
      <c r="B3" s="100" t="s">
        <v>0</v>
      </c>
      <c r="C3" s="100" t="s">
        <v>708</v>
      </c>
      <c r="D3" s="100" t="s">
        <v>1</v>
      </c>
      <c r="E3" s="100" t="s">
        <v>2</v>
      </c>
      <c r="F3" s="14" t="s">
        <v>707</v>
      </c>
      <c r="G3" s="14" t="s">
        <v>689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8.5" x14ac:dyDescent="0.35">
      <c r="A4" s="19">
        <v>1</v>
      </c>
      <c r="B4" s="19" t="s">
        <v>377</v>
      </c>
      <c r="C4" s="19" t="s">
        <v>690</v>
      </c>
      <c r="D4" s="19" t="s">
        <v>378</v>
      </c>
      <c r="E4" s="19" t="s">
        <v>217</v>
      </c>
      <c r="F4" s="20" t="str">
        <f>HYPERLINK("http://molot.biz/contacts.html","http://molot.biz/contacts.html")</f>
        <v>http://molot.biz/contacts.html</v>
      </c>
      <c r="G4" s="2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46.75" customHeight="1" x14ac:dyDescent="0.35">
      <c r="A5" s="19">
        <v>2</v>
      </c>
      <c r="B5" s="19" t="s">
        <v>376</v>
      </c>
      <c r="C5" s="19" t="s">
        <v>668</v>
      </c>
      <c r="D5" s="19" t="s">
        <v>667</v>
      </c>
      <c r="E5" s="19" t="s">
        <v>217</v>
      </c>
      <c r="F5" s="20" t="str">
        <f>HYPERLINK("https://www.vyatsu.ru/aspirantu-doktorantu/vakansii-universiteta.html","https://www.vyatsu.ru/aspirantu-doktorantu/vakansii-universiteta.html")</f>
        <v>https://www.vyatsu.ru/aspirantu-doktorantu/vakansii-universiteta.html</v>
      </c>
      <c r="G5" s="2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42.5" x14ac:dyDescent="0.35">
      <c r="A6" s="19">
        <v>3</v>
      </c>
      <c r="B6" s="19" t="s">
        <v>1107</v>
      </c>
      <c r="C6" s="19" t="s">
        <v>668</v>
      </c>
      <c r="D6" s="19" t="s">
        <v>1108</v>
      </c>
      <c r="E6" s="19" t="s">
        <v>454</v>
      </c>
      <c r="F6" s="20" t="str">
        <f>HYPERLINK("http://www.nizhgma.ru/cstv/","http://www.nizhgma.ru/cstv/")</f>
        <v>http://www.nizhgma.ru/cstv/</v>
      </c>
      <c r="G6" s="2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8.5" x14ac:dyDescent="0.35">
      <c r="A7" s="19">
        <v>4</v>
      </c>
      <c r="B7" s="19" t="s">
        <v>1114</v>
      </c>
      <c r="C7" s="19" t="s">
        <v>690</v>
      </c>
      <c r="D7" s="19" t="s">
        <v>1115</v>
      </c>
      <c r="E7" s="19" t="s">
        <v>454</v>
      </c>
      <c r="F7" s="20" t="str">
        <f>HYPERLINK("http://krsormovo.nnov.ru/vakansii","http://krsormovo.nnov.ru/vakansii")</f>
        <v>http://krsormovo.nnov.ru/vakansii</v>
      </c>
      <c r="G7" s="25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8.5" x14ac:dyDescent="0.35">
      <c r="A8" s="19">
        <v>5</v>
      </c>
      <c r="B8" s="19" t="s">
        <v>1121</v>
      </c>
      <c r="C8" s="19" t="s">
        <v>690</v>
      </c>
      <c r="D8" s="19" t="s">
        <v>1128</v>
      </c>
      <c r="E8" s="19" t="s">
        <v>454</v>
      </c>
      <c r="F8" s="20" t="str">
        <f>HYPERLINK("http://sokolplant.ru/vakansii/","http://sokolplant.ru/vakansii/")</f>
        <v>http://sokolplant.ru/vakansii/</v>
      </c>
      <c r="G8" s="25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42.5" x14ac:dyDescent="0.35">
      <c r="A9" s="19">
        <v>6</v>
      </c>
      <c r="B9" s="19" t="s">
        <v>1134</v>
      </c>
      <c r="C9" s="19" t="s">
        <v>668</v>
      </c>
      <c r="D9" s="19" t="s">
        <v>1136</v>
      </c>
      <c r="E9" s="19" t="s">
        <v>454</v>
      </c>
      <c r="F9" s="20" t="str">
        <f>HYPERLINK("http://www.unn.ru/site/about","http://www.unn.ru/site/about")</f>
        <v>http://www.unn.ru/site/about</v>
      </c>
      <c r="G9" s="20" t="str">
        <f>HYPERLINK("https://nn.hh.ru/employer/1445997","https://nn.hh.ru/employer/1445997")</f>
        <v>https://nn.hh.ru/employer/1445997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42.5" x14ac:dyDescent="0.35">
      <c r="A10" s="19">
        <v>7</v>
      </c>
      <c r="B10" s="19" t="s">
        <v>1498</v>
      </c>
      <c r="C10" s="19" t="s">
        <v>668</v>
      </c>
      <c r="D10" s="19" t="s">
        <v>1139</v>
      </c>
      <c r="E10" s="19" t="s">
        <v>454</v>
      </c>
      <c r="F10" s="20" t="str">
        <f>HYPERLINK("http://www.nntu.ru/contacts","http://www.nntu.ru/contacts")</f>
        <v>http://www.nntu.ru/contacts</v>
      </c>
      <c r="G10" s="25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8.5" x14ac:dyDescent="0.35">
      <c r="A11" s="19">
        <v>8</v>
      </c>
      <c r="B11" s="19" t="s">
        <v>1143</v>
      </c>
      <c r="C11" s="19" t="s">
        <v>690</v>
      </c>
      <c r="D11" s="19" t="s">
        <v>1144</v>
      </c>
      <c r="E11" s="19" t="s">
        <v>454</v>
      </c>
      <c r="F11" s="20" t="str">
        <f>HYPERLINK("http://gazgroup.ru/career/","http://gazgroup.ru/career/")</f>
        <v>http://gazgroup.ru/career/</v>
      </c>
      <c r="G11" s="20" t="str">
        <f>HYPERLINK("https://hh.ru/employer/660","https://hh.ru/employer/660")</f>
        <v>https://hh.ru/employer/660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8.5" x14ac:dyDescent="0.35">
      <c r="A12" s="19">
        <v>9</v>
      </c>
      <c r="B12" s="19" t="s">
        <v>455</v>
      </c>
      <c r="C12" s="19" t="s">
        <v>690</v>
      </c>
      <c r="D12" s="19" t="s">
        <v>456</v>
      </c>
      <c r="E12" s="19" t="s">
        <v>454</v>
      </c>
      <c r="F12" s="23" t="s">
        <v>1149</v>
      </c>
      <c r="G12" s="20" t="str">
        <f>HYPERLINK("https://hh.ru/employer/82010","https://hh.ru/employer/82010")</f>
        <v>https://hh.ru/employer/82010</v>
      </c>
      <c r="H12" s="24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42.5" x14ac:dyDescent="0.35">
      <c r="A13" s="19">
        <v>10</v>
      </c>
      <c r="B13" s="19" t="s">
        <v>460</v>
      </c>
      <c r="C13" s="19" t="s">
        <v>690</v>
      </c>
      <c r="D13" s="19" t="s">
        <v>457</v>
      </c>
      <c r="E13" s="19" t="s">
        <v>454</v>
      </c>
      <c r="F13" s="20" t="str">
        <f>HYPERLINK("http://www.vskcons.com/site.aspx?IID=2016800&amp;SECTIONID=2016449","http://www.vskcons.com/site.aspx?IID=2016800&amp;SECTIONID=2016449")</f>
        <v>http://www.vskcons.com/site.aspx?IID=2016800&amp;SECTIONID=2016449</v>
      </c>
      <c r="G13" s="20" t="str">
        <f>HYPERLINK("https://zelenograd.hh.ru/employer/813554","https://zelenograd.hh.ru/employer/813554")</f>
        <v>https://zelenograd.hh.ru/employer/813554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42.5" x14ac:dyDescent="0.35">
      <c r="A14" s="19">
        <v>11</v>
      </c>
      <c r="B14" s="19" t="s">
        <v>463</v>
      </c>
      <c r="C14" s="19" t="s">
        <v>692</v>
      </c>
      <c r="D14" s="19" t="s">
        <v>458</v>
      </c>
      <c r="E14" s="19" t="s">
        <v>454</v>
      </c>
      <c r="F14" s="20" t="str">
        <f>HYPERLINK("http://www.niiis.nnov.ru/","http://www.niiis.nnov.ru/")</f>
        <v>http://www.niiis.nnov.ru/</v>
      </c>
      <c r="G14" s="20" t="str">
        <f>HYPERLINK("https://baltasi.hh.ru/employer/1176646","https://baltasi.hh.ru/employer/1176646")</f>
        <v>https://baltasi.hh.ru/employer/1176646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2.5" x14ac:dyDescent="0.35">
      <c r="A15" s="19">
        <v>12</v>
      </c>
      <c r="B15" s="19" t="s">
        <v>465</v>
      </c>
      <c r="C15" s="19" t="s">
        <v>692</v>
      </c>
      <c r="D15" s="19" t="s">
        <v>459</v>
      </c>
      <c r="E15" s="19" t="s">
        <v>454</v>
      </c>
      <c r="F15" s="20" t="str">
        <f>HYPERLINK("http://nivinzrf.ru/","http://nivinzrf.ru/")</f>
        <v>http://nivinzrf.ru/</v>
      </c>
      <c r="G15" s="25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8.5" x14ac:dyDescent="0.35">
      <c r="A16" s="19">
        <v>13</v>
      </c>
      <c r="B16" s="19" t="s">
        <v>466</v>
      </c>
      <c r="C16" s="19" t="s">
        <v>690</v>
      </c>
      <c r="D16" s="19" t="s">
        <v>462</v>
      </c>
      <c r="E16" s="19" t="s">
        <v>454</v>
      </c>
      <c r="F16" s="20" t="str">
        <f>HYPERLINK("http://www.omk.ru/vmz/","http://www.omk.ru/vmz/")</f>
        <v>http://www.omk.ru/vmz/</v>
      </c>
      <c r="G16" s="20" t="str">
        <f>HYPERLINK("https://hh.ru/employer/19616","https://hh.ru/employer/19616")</f>
        <v>https://hh.ru/employer/19616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8.5" x14ac:dyDescent="0.35">
      <c r="A17" s="19">
        <v>14</v>
      </c>
      <c r="B17" s="19" t="s">
        <v>464</v>
      </c>
      <c r="C17" s="19" t="s">
        <v>690</v>
      </c>
      <c r="D17" s="19" t="s">
        <v>461</v>
      </c>
      <c r="E17" s="19" t="s">
        <v>454</v>
      </c>
      <c r="F17" s="20" t="str">
        <f>HYPERLINK("http://gazgroup.ru/about/contacts/main-company/","http://gazgroup.ru/about/contacts/main-company/")</f>
        <v>http://gazgroup.ru/about/contacts/main-company/</v>
      </c>
      <c r="G17" s="20" t="str">
        <f>HYPERLINK("https://hh.ru/employer/660","https://hh.ru/employer/660")</f>
        <v>https://hh.ru/employer/660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42.5" x14ac:dyDescent="0.35">
      <c r="A18" s="19">
        <v>15</v>
      </c>
      <c r="B18" s="19" t="s">
        <v>1174</v>
      </c>
      <c r="C18" s="19" t="s">
        <v>668</v>
      </c>
      <c r="D18" s="19" t="s">
        <v>1176</v>
      </c>
      <c r="E18" s="19" t="s">
        <v>215</v>
      </c>
      <c r="F18" s="20" t="str">
        <f>HYPERLINK("http://www.orgma.ru/sveden/common.html","http://www.orgma.ru/sveden/common.html")</f>
        <v>http://www.orgma.ru/sveden/common.html</v>
      </c>
      <c r="G18" s="2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70.5" x14ac:dyDescent="0.35">
      <c r="A19" s="19">
        <v>16</v>
      </c>
      <c r="B19" s="19" t="s">
        <v>1183</v>
      </c>
      <c r="C19" s="19" t="s">
        <v>668</v>
      </c>
      <c r="D19" s="19" t="s">
        <v>1497</v>
      </c>
      <c r="E19" s="19" t="s">
        <v>498</v>
      </c>
      <c r="F19" s="20" t="str">
        <f>HYPERLINK("http://piuv.ru/vacancy","http://piuv.ru/vacancy")</f>
        <v>http://piuv.ru/vacancy</v>
      </c>
      <c r="G19" s="2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8.5" x14ac:dyDescent="0.35">
      <c r="A20" s="19">
        <v>17</v>
      </c>
      <c r="B20" s="19" t="s">
        <v>499</v>
      </c>
      <c r="C20" s="19" t="s">
        <v>668</v>
      </c>
      <c r="D20" s="19" t="s">
        <v>386</v>
      </c>
      <c r="E20" s="19" t="s">
        <v>498</v>
      </c>
      <c r="F20" s="20" t="str">
        <f>HYPERLINK("http://www.pnzgu.ru/kontakty","http://www.pnzgu.ru/kontakty")</f>
        <v>http://www.pnzgu.ru/kontakty</v>
      </c>
      <c r="G20" s="20" t="str">
        <f>HYPERLINK("https://hh.ru/employer/1743693","https://hh.ru/employer/1743693")</f>
        <v>https://hh.ru/employer/1743693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2.5" x14ac:dyDescent="0.35">
      <c r="A21" s="19">
        <v>18</v>
      </c>
      <c r="B21" s="19" t="s">
        <v>500</v>
      </c>
      <c r="C21" s="19" t="s">
        <v>668</v>
      </c>
      <c r="D21" s="19" t="s">
        <v>388</v>
      </c>
      <c r="E21" s="19" t="s">
        <v>498</v>
      </c>
      <c r="F21" s="20" t="str">
        <f>HYPERLINK("http://www.pguas.ru/unit/cmistv/vacancies","http://www.pguas.ru/unit/cmistv/vacancies")</f>
        <v>http://www.pguas.ru/unit/cmistv/vacancies</v>
      </c>
      <c r="G21" s="25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56.5" x14ac:dyDescent="0.35">
      <c r="A22" s="19">
        <v>19</v>
      </c>
      <c r="B22" s="19" t="s">
        <v>497</v>
      </c>
      <c r="C22" s="19" t="s">
        <v>690</v>
      </c>
      <c r="D22" s="19" t="s">
        <v>389</v>
      </c>
      <c r="E22" s="19" t="s">
        <v>498</v>
      </c>
      <c r="F22" s="20" t="str">
        <f>HYPERLINK("http://www.npp-rubin.ru/index.php?lang=&amp;itsfltinside=1&amp;fulnro=67&amp;thisissx=zuzzzla","http://www.npp-rubin.ru/index.php?lang=&amp;itsfltinside=1&amp;fulnro=67&amp;thisissx=zuzzzla")</f>
        <v>http://www.npp-rubin.ru/index.php?lang=&amp;itsfltinside=1&amp;fulnro=67&amp;thisissx=zuzzzla</v>
      </c>
      <c r="G22" s="25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56.5" x14ac:dyDescent="0.35">
      <c r="A23" s="19">
        <v>20</v>
      </c>
      <c r="B23" s="19" t="s">
        <v>1194</v>
      </c>
      <c r="C23" s="19" t="s">
        <v>668</v>
      </c>
      <c r="D23" s="19" t="s">
        <v>1496</v>
      </c>
      <c r="E23" s="19" t="s">
        <v>502</v>
      </c>
      <c r="F23" s="20" t="str">
        <f>HYPERLINK("http://www.psma.ru/universitet/vakansii-universiteta.html","http://www.psma.ru/universitet/vakansii-universiteta.html")</f>
        <v>http://www.psma.ru/universitet/vakansii-universiteta.html</v>
      </c>
      <c r="G23" s="20" t="str">
        <f>HYPERLINK("https://hh.ru/employer/1375927","https://hh.ru/employer/1375927")</f>
        <v>https://hh.ru/employer/1375927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2.5" x14ac:dyDescent="0.35">
      <c r="A24" s="19">
        <v>21</v>
      </c>
      <c r="B24" s="19" t="s">
        <v>1197</v>
      </c>
      <c r="C24" s="19" t="s">
        <v>668</v>
      </c>
      <c r="D24" s="19" t="s">
        <v>1495</v>
      </c>
      <c r="E24" s="19" t="s">
        <v>502</v>
      </c>
      <c r="F24" s="20" t="str">
        <f>HYPERLINK("http://pstu.ru/manage/rectorat/","http://pstu.ru/manage/rectorat/")</f>
        <v>http://pstu.ru/manage/rectorat/</v>
      </c>
      <c r="G24" s="20" t="str">
        <f>HYPERLINK("https://hh.ru/employer/2104149","https://hh.ru/employer/2104149")</f>
        <v>https://hh.ru/employer/2104149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2.5" x14ac:dyDescent="0.35">
      <c r="A25" s="19">
        <v>22</v>
      </c>
      <c r="B25" s="19" t="s">
        <v>1200</v>
      </c>
      <c r="C25" s="19" t="s">
        <v>668</v>
      </c>
      <c r="D25" s="19" t="s">
        <v>1505</v>
      </c>
      <c r="E25" s="19" t="s">
        <v>502</v>
      </c>
      <c r="F25" s="20" t="str">
        <f>HYPERLINK("http://www.psu.ru/universitet/ob-universitete","http://www.psu.ru/universitet/ob-universitete")</f>
        <v>http://www.psu.ru/universitet/ob-universitete</v>
      </c>
      <c r="G25" s="25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8.5" x14ac:dyDescent="0.35">
      <c r="A26" s="19">
        <v>23</v>
      </c>
      <c r="B26" s="19" t="s">
        <v>1202</v>
      </c>
      <c r="C26" s="19" t="s">
        <v>690</v>
      </c>
      <c r="D26" s="19" t="s">
        <v>1506</v>
      </c>
      <c r="E26" s="19" t="s">
        <v>502</v>
      </c>
      <c r="F26" s="20" t="str">
        <f>HYPERLINK("http://www.avid.ru/contacts/","http://www.avid.ru/contacts/")</f>
        <v>http://www.avid.ru/contacts/</v>
      </c>
      <c r="G26" s="20" t="str">
        <f>HYPERLINK("https://hh.ru/employer/737123","https://hh.ru/employer/737123")</f>
        <v>https://hh.ru/employer/737123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8.5" x14ac:dyDescent="0.35">
      <c r="A27" s="19">
        <v>24</v>
      </c>
      <c r="B27" s="19" t="s">
        <v>506</v>
      </c>
      <c r="C27" s="19" t="s">
        <v>690</v>
      </c>
      <c r="D27" s="19" t="s">
        <v>345</v>
      </c>
      <c r="E27" s="19" t="s">
        <v>502</v>
      </c>
      <c r="F27" s="20" t="str">
        <f>HYPERLINK("http://www.prognoz.ru/company/career#vacancies","http://www.prognoz.ru/company/career#vacancies")</f>
        <v>http://www.prognoz.ru/company/career#vacancies</v>
      </c>
      <c r="G27" s="20" t="str">
        <f>HYPERLINK("https://hh.ru/employer/151128","https://hh.ru/employer/151128")</f>
        <v>https://hh.ru/employer/151128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8.5" x14ac:dyDescent="0.35">
      <c r="A28" s="19">
        <v>25</v>
      </c>
      <c r="B28" s="19" t="s">
        <v>501</v>
      </c>
      <c r="C28" s="19" t="s">
        <v>690</v>
      </c>
      <c r="D28" s="19" t="s">
        <v>347</v>
      </c>
      <c r="E28" s="19" t="s">
        <v>502</v>
      </c>
      <c r="F28" s="20" t="str">
        <f>HYPERLINK("http://mz.perm.ru/about/social_politics/vacancies/","http://mz.perm.ru/about/social_politics/vacancies/")</f>
        <v>http://mz.perm.ru/about/social_politics/vacancies/</v>
      </c>
      <c r="G28" s="20" t="str">
        <f>HYPERLINK("https://hh.ru/employer/723191","https://hh.ru/employer/723191")</f>
        <v>https://hh.ru/employer/723191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8.5" x14ac:dyDescent="0.35">
      <c r="A29" s="19">
        <v>26</v>
      </c>
      <c r="B29" s="19" t="s">
        <v>507</v>
      </c>
      <c r="C29" s="19" t="s">
        <v>690</v>
      </c>
      <c r="D29" s="19" t="s">
        <v>1494</v>
      </c>
      <c r="E29" s="19" t="s">
        <v>502</v>
      </c>
      <c r="F29" s="20" t="str">
        <f>HYPERLINK("http://www.sorbent.su/contacts/","http://www.sorbent.su/contacts/")</f>
        <v>http://www.sorbent.su/contacts/</v>
      </c>
      <c r="G29" s="20" t="str">
        <f>HYPERLINK("https://hh.ru/employer/10657","https://hh.ru/employer/10657")</f>
        <v>https://hh.ru/employer/10657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8.5" x14ac:dyDescent="0.35">
      <c r="A30" s="19">
        <v>27</v>
      </c>
      <c r="B30" s="19" t="s">
        <v>508</v>
      </c>
      <c r="C30" s="19" t="s">
        <v>690</v>
      </c>
      <c r="D30" s="19" t="s">
        <v>350</v>
      </c>
      <c r="E30" s="19" t="s">
        <v>502</v>
      </c>
      <c r="F30" s="20" t="str">
        <f>HYPERLINK("http://www.ppk.perm.ru/history.html","http://www.ppk.perm.ru/history.html")</f>
        <v>http://www.ppk.perm.ru/history.html</v>
      </c>
      <c r="G30" s="20" t="str">
        <f>HYPERLINK("https://perm.hh.ru/employer/989594","https://perm.hh.ru/employer/989594")</f>
        <v>https://perm.hh.ru/employer/989594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42.5" x14ac:dyDescent="0.35">
      <c r="A31" s="19">
        <v>28</v>
      </c>
      <c r="B31" s="19" t="s">
        <v>515</v>
      </c>
      <c r="C31" s="19" t="s">
        <v>690</v>
      </c>
      <c r="D31" s="19" t="s">
        <v>351</v>
      </c>
      <c r="E31" s="19" t="s">
        <v>502</v>
      </c>
      <c r="F31" s="20" t="str">
        <f>HYPERLINK("http://www.protonpm.ru/corporate/work/vacancy","http://www.protonpm.ru/corporate/work/vacancy")</f>
        <v>http://www.protonpm.ru/corporate/work/vacancy</v>
      </c>
      <c r="G31" s="20" t="str">
        <f>HYPERLINK("https://evrejskaja-ao.hh.ru/employer/247997","https://evrejskaja-ao.hh.ru/employer/247997")</f>
        <v>https://evrejskaja-ao.hh.ru/employer/247997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42.5" x14ac:dyDescent="0.35">
      <c r="A32" s="19">
        <v>29</v>
      </c>
      <c r="B32" s="19" t="s">
        <v>503</v>
      </c>
      <c r="C32" s="19" t="s">
        <v>690</v>
      </c>
      <c r="D32" s="19" t="s">
        <v>670</v>
      </c>
      <c r="E32" s="19" t="s">
        <v>502</v>
      </c>
      <c r="F32" s="20" t="str">
        <f>HYPERLINK("https://www.novomet.ru/career/vacancy/novomet-perm-zao/","https://www.novomet.ru/career/vacancy/novomet-perm-zao/")</f>
        <v>https://www.novomet.ru/career/vacancy/novomet-perm-zao/</v>
      </c>
      <c r="G32" s="20" t="str">
        <f>HYPERLINK("https://perm.hh.ru/employer/43050","https://perm.hh.ru/employer/43050")</f>
        <v>https://perm.hh.ru/employer/43050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8.5" x14ac:dyDescent="0.35">
      <c r="A33" s="19">
        <v>30</v>
      </c>
      <c r="B33" s="19" t="s">
        <v>513</v>
      </c>
      <c r="C33" s="19" t="s">
        <v>690</v>
      </c>
      <c r="D33" s="19" t="s">
        <v>343</v>
      </c>
      <c r="E33" s="19" t="s">
        <v>502</v>
      </c>
      <c r="F33" s="20" t="str">
        <f>HYPERLINK("http://www.pmz.ru/contact/odk-pm/","http://www.pmz.ru/contact/odk-pm/")</f>
        <v>http://www.pmz.ru/contact/odk-pm/</v>
      </c>
      <c r="G33" s="20" t="str">
        <f>HYPERLINK("https://perm.hh.ru/employer/873395","https://perm.hh.ru/employer/873395")</f>
        <v>https://perm.hh.ru/employer/873395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42.5" x14ac:dyDescent="0.35">
      <c r="A34" s="19">
        <v>31</v>
      </c>
      <c r="B34" s="19" t="s">
        <v>510</v>
      </c>
      <c r="C34" s="19" t="s">
        <v>690</v>
      </c>
      <c r="D34" s="19" t="s">
        <v>354</v>
      </c>
      <c r="E34" s="19" t="s">
        <v>502</v>
      </c>
      <c r="F34" s="20" t="str">
        <f>HYPERLINK("http://www.ao-star.ru/ru/content/tekushchie-vakansii","http://www.ao-star.ru/ru/content/tekushchie-vakansii")</f>
        <v>http://www.ao-star.ru/ru/content/tekushchie-vakansii</v>
      </c>
      <c r="G34" s="20" t="str">
        <f>HYPERLINK("https://perm.hh.ru/employer/410361","https://perm.hh.ru/employer/410361")</f>
        <v>https://perm.hh.ru/employer/410361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8.5" x14ac:dyDescent="0.35">
      <c r="A35" s="19">
        <v>32</v>
      </c>
      <c r="B35" s="64" t="s">
        <v>516</v>
      </c>
      <c r="C35" s="64" t="s">
        <v>690</v>
      </c>
      <c r="D35" s="64" t="s">
        <v>357</v>
      </c>
      <c r="E35" s="64" t="s">
        <v>502</v>
      </c>
      <c r="F35" s="147" t="str">
        <f>HYPERLINK("http://www.omk.ru/chmz/","http://www.omk.ru/chmz/")</f>
        <v>http://www.omk.ru/chmz/</v>
      </c>
      <c r="G35" s="25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s="108" customFormat="1" ht="42.5" x14ac:dyDescent="0.35">
      <c r="A36" s="19">
        <v>33</v>
      </c>
      <c r="B36" s="115" t="s">
        <v>1636</v>
      </c>
      <c r="C36" s="115" t="s">
        <v>668</v>
      </c>
      <c r="D36" s="115" t="s">
        <v>1637</v>
      </c>
      <c r="E36" s="115" t="s">
        <v>502</v>
      </c>
      <c r="F36" s="131" t="s">
        <v>1638</v>
      </c>
      <c r="G36" s="151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8.5" x14ac:dyDescent="0.35">
      <c r="A37" s="19">
        <v>34</v>
      </c>
      <c r="B37" s="68" t="s">
        <v>1214</v>
      </c>
      <c r="C37" s="68" t="s">
        <v>690</v>
      </c>
      <c r="D37" s="68" t="s">
        <v>1215</v>
      </c>
      <c r="E37" s="68" t="s">
        <v>502</v>
      </c>
      <c r="F37" s="152"/>
      <c r="G37" s="2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42.5" x14ac:dyDescent="0.35">
      <c r="A38" s="19">
        <v>35</v>
      </c>
      <c r="B38" s="19" t="s">
        <v>1216</v>
      </c>
      <c r="C38" s="19" t="s">
        <v>668</v>
      </c>
      <c r="D38" s="19" t="s">
        <v>509</v>
      </c>
      <c r="E38" s="19" t="s">
        <v>111</v>
      </c>
      <c r="F38" s="20" t="str">
        <f>HYPERLINK("http://www.bashgmu.ru/","http://www.bashgmu.ru/")</f>
        <v>http://www.bashgmu.ru/</v>
      </c>
      <c r="G38" s="20" t="str">
        <f>HYPERLINK("https://hh.ru/employer/1048716","https://hh.ru/employer/1048716")</f>
        <v>https://hh.ru/employer/1048716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42.5" x14ac:dyDescent="0.35">
      <c r="A39" s="19">
        <v>36</v>
      </c>
      <c r="B39" s="19" t="s">
        <v>1219</v>
      </c>
      <c r="C39" s="19" t="s">
        <v>668</v>
      </c>
      <c r="D39" s="19" t="s">
        <v>1504</v>
      </c>
      <c r="E39" s="19" t="s">
        <v>111</v>
      </c>
      <c r="F39" s="20" t="str">
        <f>HYPERLINK("http://ugatu.ac.ru/","http://ugatu.ac.ru/")</f>
        <v>http://ugatu.ac.ru/</v>
      </c>
      <c r="G39" s="25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42.5" x14ac:dyDescent="0.35">
      <c r="A40" s="19">
        <v>37</v>
      </c>
      <c r="B40" s="19" t="s">
        <v>671</v>
      </c>
      <c r="C40" s="19" t="s">
        <v>668</v>
      </c>
      <c r="D40" s="19" t="s">
        <v>511</v>
      </c>
      <c r="E40" s="19" t="s">
        <v>111</v>
      </c>
      <c r="F40" s="20" t="str">
        <f>HYPERLINK("http://rusoil.net/","http://rusoil.net/")</f>
        <v>http://rusoil.net/</v>
      </c>
      <c r="G40" s="20" t="str">
        <f>HYPERLINK("https://hh.ru/employer/2160558","https://hh.ru/employer/2160558")</f>
        <v>https://hh.ru/employer/2160558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8.5" x14ac:dyDescent="0.35">
      <c r="A41" s="19">
        <v>38</v>
      </c>
      <c r="B41" s="19" t="s">
        <v>1222</v>
      </c>
      <c r="C41" s="19" t="s">
        <v>690</v>
      </c>
      <c r="D41" s="19" t="s">
        <v>1503</v>
      </c>
      <c r="E41" s="19" t="s">
        <v>111</v>
      </c>
      <c r="F41" s="20" t="str">
        <f>HYPERLINK("http://umpo.ru/","http://umpo.ru/")</f>
        <v>http://umpo.ru/</v>
      </c>
      <c r="G41" s="20" t="str">
        <f>HYPERLINK("https://ufa.hh.ru/employer/675794","https://ufa.hh.ru/employer/675794")</f>
        <v>https://ufa.hh.ru/employer/675794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8.5" x14ac:dyDescent="0.35">
      <c r="A42" s="19">
        <v>39</v>
      </c>
      <c r="B42" s="19" t="s">
        <v>530</v>
      </c>
      <c r="C42" s="19" t="s">
        <v>692</v>
      </c>
      <c r="D42" s="19" t="s">
        <v>1224</v>
      </c>
      <c r="E42" s="19" t="s">
        <v>111</v>
      </c>
      <c r="F42" s="20" t="str">
        <f>HYPERLINK("http://technofilter.ru/about/contact_shema/","http://technofilter.ru/about/contact_shema/")</f>
        <v>http://technofilter.ru/about/contact_shema/</v>
      </c>
      <c r="G42" s="20" t="str">
        <f>HYPERLINK("https://hh.ru/employer/928015","https://hh.ru/employer/928015")</f>
        <v>https://hh.ru/employer/928015</v>
      </c>
      <c r="H42" s="81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8.5" x14ac:dyDescent="0.35">
      <c r="A43" s="19">
        <v>40</v>
      </c>
      <c r="B43" s="19" t="s">
        <v>672</v>
      </c>
      <c r="C43" s="19" t="s">
        <v>690</v>
      </c>
      <c r="D43" s="19" t="s">
        <v>517</v>
      </c>
      <c r="E43" s="19" t="s">
        <v>111</v>
      </c>
      <c r="F43" s="20" t="str">
        <f>HYPERLINK("http://nkmz.ru/","http://nkmz.ru/")</f>
        <v>http://nkmz.ru/</v>
      </c>
      <c r="G43" s="20" t="str">
        <f>HYPERLINK("https://hh.ru/employer/1047757","https://hh.ru/employer/1047757")</f>
        <v>https://hh.ru/employer/1047757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8.5" x14ac:dyDescent="0.35">
      <c r="A44" s="19">
        <v>41</v>
      </c>
      <c r="B44" s="19" t="s">
        <v>529</v>
      </c>
      <c r="C44" s="19" t="s">
        <v>692</v>
      </c>
      <c r="D44" s="19" t="s">
        <v>512</v>
      </c>
      <c r="E44" s="19" t="s">
        <v>111</v>
      </c>
      <c r="F44" s="20" t="str">
        <f>HYPERLINK("http://www.imsp.ru/represent/_represent_about/","http://www.imsp.ru/represent/_represent_about/")</f>
        <v>http://www.imsp.ru/represent/_represent_about/</v>
      </c>
      <c r="G44" s="20" t="str">
        <f>HYPERLINK("https://hh.ru/employer/1109136","https://hh.ru/employer/1109136")</f>
        <v>https://hh.ru/employer/1109136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8.5" x14ac:dyDescent="0.35">
      <c r="A45" s="19">
        <v>42</v>
      </c>
      <c r="B45" s="19" t="s">
        <v>532</v>
      </c>
      <c r="C45" s="19" t="s">
        <v>690</v>
      </c>
      <c r="D45" s="19" t="s">
        <v>514</v>
      </c>
      <c r="E45" s="19" t="s">
        <v>111</v>
      </c>
      <c r="F45" s="20" t="str">
        <f>HYPERLINK("http://motor-odk.ru/","http://motor-odk.ru/")</f>
        <v>http://motor-odk.ru/</v>
      </c>
      <c r="G45" s="25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8.5" x14ac:dyDescent="0.35">
      <c r="A46" s="19">
        <v>43</v>
      </c>
      <c r="B46" s="19" t="s">
        <v>534</v>
      </c>
      <c r="C46" s="19" t="s">
        <v>690</v>
      </c>
      <c r="D46" s="19" t="s">
        <v>518</v>
      </c>
      <c r="E46" s="19" t="s">
        <v>111</v>
      </c>
      <c r="F46" s="20" t="str">
        <f>HYPERLINK("http://www.omk.ru/baz/","http://www.omk.ru/baz/")</f>
        <v>http://www.omk.ru/baz/</v>
      </c>
      <c r="G46" s="25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8.5" x14ac:dyDescent="0.35">
      <c r="A47" s="19">
        <v>44</v>
      </c>
      <c r="B47" s="19" t="s">
        <v>536</v>
      </c>
      <c r="C47" s="19" t="s">
        <v>690</v>
      </c>
      <c r="D47" s="19" t="s">
        <v>519</v>
      </c>
      <c r="E47" s="19" t="s">
        <v>111</v>
      </c>
      <c r="F47" s="20" t="str">
        <f>HYPERLINK("http://www.mechel.ru/sector/steel/bmk/contacts/","http://www.mechel.ru/sector/steel/bmk/contacts/")</f>
        <v>http://www.mechel.ru/sector/steel/bmk/contacts/</v>
      </c>
      <c r="G47" s="20" t="str">
        <f>HYPERLINK("https://hh.ru/employer/1579402","https://hh.ru/employer/1579402")</f>
        <v>https://hh.ru/employer/1579402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42.5" x14ac:dyDescent="0.35">
      <c r="A48" s="19">
        <v>45</v>
      </c>
      <c r="B48" s="19" t="s">
        <v>1234</v>
      </c>
      <c r="C48" s="19" t="s">
        <v>690</v>
      </c>
      <c r="D48" s="19" t="s">
        <v>1493</v>
      </c>
      <c r="E48" s="19" t="s">
        <v>111</v>
      </c>
      <c r="F48" s="46" t="s">
        <v>1235</v>
      </c>
      <c r="G48" s="55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42.5" x14ac:dyDescent="0.35">
      <c r="A49" s="19">
        <v>46</v>
      </c>
      <c r="B49" s="64" t="s">
        <v>1237</v>
      </c>
      <c r="C49" s="64" t="s">
        <v>690</v>
      </c>
      <c r="D49" s="64" t="s">
        <v>1238</v>
      </c>
      <c r="E49" s="64" t="s">
        <v>111</v>
      </c>
      <c r="F49" s="125" t="s">
        <v>1239</v>
      </c>
      <c r="G49" s="136" t="s">
        <v>1240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s="108" customFormat="1" ht="42.5" x14ac:dyDescent="0.35">
      <c r="A50" s="19">
        <v>47</v>
      </c>
      <c r="B50" s="115" t="s">
        <v>1632</v>
      </c>
      <c r="C50" s="115" t="s">
        <v>690</v>
      </c>
      <c r="D50" s="115" t="s">
        <v>1633</v>
      </c>
      <c r="E50" s="115" t="s">
        <v>111</v>
      </c>
      <c r="F50" s="131" t="s">
        <v>1634</v>
      </c>
      <c r="G50" s="131" t="s">
        <v>1635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42.5" x14ac:dyDescent="0.35">
      <c r="A51" s="19">
        <v>48</v>
      </c>
      <c r="B51" s="68" t="s">
        <v>1241</v>
      </c>
      <c r="C51" s="68" t="s">
        <v>668</v>
      </c>
      <c r="D51" s="68" t="s">
        <v>556</v>
      </c>
      <c r="E51" s="68" t="s">
        <v>192</v>
      </c>
      <c r="F51" s="127" t="str">
        <f>HYPERLINK("http://www.mrsu.ru/ru/alumni/vakan.php","http://www.mrsu.ru/ru/alumni/vakan.php")</f>
        <v>http://www.mrsu.ru/ru/alumni/vakan.php</v>
      </c>
      <c r="G51" s="128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8.5" x14ac:dyDescent="0.35">
      <c r="A52" s="19">
        <v>49</v>
      </c>
      <c r="B52" s="19" t="s">
        <v>1243</v>
      </c>
      <c r="C52" s="19" t="s">
        <v>690</v>
      </c>
      <c r="D52" s="19" t="s">
        <v>1244</v>
      </c>
      <c r="E52" s="19" t="s">
        <v>192</v>
      </c>
      <c r="F52" s="46" t="s">
        <v>1245</v>
      </c>
      <c r="G52" s="82" t="s">
        <v>1247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8.5" x14ac:dyDescent="0.35">
      <c r="A53" s="19">
        <v>50</v>
      </c>
      <c r="B53" s="19" t="s">
        <v>554</v>
      </c>
      <c r="C53" s="19" t="s">
        <v>690</v>
      </c>
      <c r="D53" s="19" t="s">
        <v>555</v>
      </c>
      <c r="E53" s="19" t="s">
        <v>192</v>
      </c>
      <c r="F53" s="20" t="str">
        <f>HYPERLINK("http://www.elvpr.ru/contacts/kadry/index.php","http://www.elvpr.ru/contacts/kadry/index.php")</f>
        <v>http://www.elvpr.ru/contacts/kadry/index.php</v>
      </c>
      <c r="G53" s="25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8.5" x14ac:dyDescent="0.35">
      <c r="A54" s="19">
        <v>51</v>
      </c>
      <c r="B54" s="19" t="s">
        <v>673</v>
      </c>
      <c r="C54" s="19" t="s">
        <v>690</v>
      </c>
      <c r="D54" s="19" t="s">
        <v>557</v>
      </c>
      <c r="E54" s="19" t="s">
        <v>192</v>
      </c>
      <c r="F54" s="20" t="str">
        <f>HYPERLINK("http://rmrail.ru/structure/ruzchimmash/","http://rmrail.ru/structure/ruzchimmash/")</f>
        <v>http://rmrail.ru/structure/ruzchimmash/</v>
      </c>
      <c r="G54" s="25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42.5" x14ac:dyDescent="0.35">
      <c r="A55" s="19">
        <v>52</v>
      </c>
      <c r="B55" s="19" t="s">
        <v>1250</v>
      </c>
      <c r="C55" s="19" t="s">
        <v>668</v>
      </c>
      <c r="D55" s="19" t="s">
        <v>1492</v>
      </c>
      <c r="E55" s="19" t="s">
        <v>48</v>
      </c>
      <c r="F55" s="20" t="str">
        <f>HYPERLINK("http://university.innopolis.ru/about/","http://university.innopolis.ru/about/")</f>
        <v>http://university.innopolis.ru/about/</v>
      </c>
      <c r="G55" s="20" t="str">
        <f>HYPERLINK("https://hh.ru/employer/1160188","https://hh.ru/employer/1160188")</f>
        <v>https://hh.ru/employer/1160188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2.5" x14ac:dyDescent="0.35">
      <c r="A56" s="19">
        <v>53</v>
      </c>
      <c r="B56" s="19" t="s">
        <v>1256</v>
      </c>
      <c r="C56" s="19" t="s">
        <v>668</v>
      </c>
      <c r="D56" s="19" t="s">
        <v>1257</v>
      </c>
      <c r="E56" s="19" t="s">
        <v>48</v>
      </c>
      <c r="F56" s="20" t="str">
        <f>HYPERLINK("http://www.kgmu.kcn.ru/departments/staff","http://www.kgmu.kcn.ru/departments/staff")</f>
        <v>http://www.kgmu.kcn.ru/departments/staff</v>
      </c>
      <c r="G56" s="25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70.5" x14ac:dyDescent="0.35">
      <c r="A57" s="19">
        <v>54</v>
      </c>
      <c r="B57" s="19" t="s">
        <v>1258</v>
      </c>
      <c r="C57" s="19" t="s">
        <v>668</v>
      </c>
      <c r="D57" s="19" t="s">
        <v>1259</v>
      </c>
      <c r="E57" s="19" t="s">
        <v>48</v>
      </c>
      <c r="F57" s="20" t="str">
        <f>HYPERLINK("https://kgma.info/academy/vakansii/","https://kgma.info/academy/vakansii/")</f>
        <v>https://kgma.info/academy/vakansii/</v>
      </c>
      <c r="G57" s="20" t="str">
        <f>HYPERLINK("https://hh.ru/employer/923470","https://hh.ru/employer/923470")</f>
        <v>https://hh.ru/employer/923470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56.5" x14ac:dyDescent="0.35">
      <c r="A58" s="19">
        <v>55</v>
      </c>
      <c r="B58" s="19" t="s">
        <v>1260</v>
      </c>
      <c r="C58" s="19" t="s">
        <v>690</v>
      </c>
      <c r="D58" s="19" t="s">
        <v>1500</v>
      </c>
      <c r="E58" s="19" t="s">
        <v>48</v>
      </c>
      <c r="F58" s="20" t="str">
        <f>HYPERLINK("http://www.tupolev.ru/kaz_contacts","http://www.tupolev.ru/kaz_contacts")</f>
        <v>http://www.tupolev.ru/kaz_contacts</v>
      </c>
      <c r="G58" s="20" t="str">
        <f>HYPERLINK("https://kazan.hh.ru/employer/160690","https://kazan.hh.ru/employer/160690")</f>
        <v>https://kazan.hh.ru/employer/160690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8.5" x14ac:dyDescent="0.35">
      <c r="A59" s="19">
        <v>56</v>
      </c>
      <c r="B59" s="19" t="s">
        <v>1261</v>
      </c>
      <c r="C59" s="19" t="s">
        <v>690</v>
      </c>
      <c r="D59" s="19" t="s">
        <v>1262</v>
      </c>
      <c r="E59" s="19" t="s">
        <v>48</v>
      </c>
      <c r="F59" s="20" t="str">
        <f>HYPERLINK("http://www.gniihp.ru/vakansii","http://www.gniihp.ru/vakansii")</f>
        <v>http://www.gniihp.ru/vakansii</v>
      </c>
      <c r="G59" s="25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8.5" x14ac:dyDescent="0.35">
      <c r="A60" s="19">
        <v>57</v>
      </c>
      <c r="B60" s="19" t="s">
        <v>1265</v>
      </c>
      <c r="C60" s="19" t="s">
        <v>668</v>
      </c>
      <c r="D60" s="19" t="s">
        <v>258</v>
      </c>
      <c r="E60" s="19" t="s">
        <v>48</v>
      </c>
      <c r="F60" s="20" t="str">
        <f>HYPERLINK("http://kpfu.ru/job","http://kpfu.ru/job")</f>
        <v>http://kpfu.ru/job</v>
      </c>
      <c r="G60" s="20" t="str">
        <f>HYPERLINK("https://hh.ru/employer/1362852","https://hh.ru/employer/1362852")</f>
        <v>https://hh.ru/employer/1362852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42.5" x14ac:dyDescent="0.35">
      <c r="A61" s="19">
        <v>58</v>
      </c>
      <c r="B61" s="19" t="s">
        <v>1269</v>
      </c>
      <c r="C61" s="19" t="s">
        <v>668</v>
      </c>
      <c r="D61" s="19" t="s">
        <v>1499</v>
      </c>
      <c r="E61" s="19" t="s">
        <v>48</v>
      </c>
      <c r="F61" s="23" t="s">
        <v>1270</v>
      </c>
      <c r="G61" s="20" t="str">
        <f>HYPERLINK("https://hh.ru/employer/240974","https://hh.ru/employer/240974")</f>
        <v>https://hh.ru/employer/240974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42.5" x14ac:dyDescent="0.35">
      <c r="A62" s="19">
        <v>59</v>
      </c>
      <c r="B62" s="19" t="s">
        <v>1271</v>
      </c>
      <c r="C62" s="19" t="s">
        <v>668</v>
      </c>
      <c r="D62" s="19" t="s">
        <v>1272</v>
      </c>
      <c r="E62" s="19" t="s">
        <v>48</v>
      </c>
      <c r="F62" s="20" t="str">
        <f>HYPERLINK("http://www.kstu.ru/article.jsp?&amp;id=0&amp;id_e=11229","http://www.kstu.ru/article.jsp?&amp;id=0&amp;id_e=11229")</f>
        <v>http://www.kstu.ru/article.jsp?&amp;id=0&amp;id_e=11229</v>
      </c>
      <c r="G62" s="20" t="str">
        <f>HYPERLINK("https://hh.ru/employer/806603","https://hh.ru/employer/806603")</f>
        <v>https://hh.ru/employer/806603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8.5" x14ac:dyDescent="0.35">
      <c r="A63" s="19">
        <v>60</v>
      </c>
      <c r="B63" s="19" t="s">
        <v>1273</v>
      </c>
      <c r="C63" s="19" t="s">
        <v>690</v>
      </c>
      <c r="D63" s="19" t="s">
        <v>1502</v>
      </c>
      <c r="E63" s="19" t="s">
        <v>48</v>
      </c>
      <c r="F63" s="20" t="str">
        <f>HYPERLINK("http://www.kamaz.ru/career/vacancies/","http://www.kamaz.ru/career/vacancies/")</f>
        <v>http://www.kamaz.ru/career/vacancies/</v>
      </c>
      <c r="G63" s="20" t="str">
        <f>HYPERLINK("https://hh.ru/employer/52951","https://hh.ru/employer/52951")</f>
        <v>https://hh.ru/employer/52951</v>
      </c>
      <c r="H63" s="86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8.5" x14ac:dyDescent="0.35">
      <c r="A64" s="19">
        <v>61</v>
      </c>
      <c r="B64" s="19" t="s">
        <v>1281</v>
      </c>
      <c r="C64" s="19" t="s">
        <v>690</v>
      </c>
      <c r="D64" s="19" t="s">
        <v>1501</v>
      </c>
      <c r="E64" s="19" t="s">
        <v>48</v>
      </c>
      <c r="F64" s="20" t="str">
        <f>HYPERLINK("http://www.tng.ru/vakansiy/","http://www.tng.ru/vakansiy/")</f>
        <v>http://www.tng.ru/vakansiy/</v>
      </c>
      <c r="G64" s="25"/>
      <c r="H64" s="86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8.5" x14ac:dyDescent="0.35">
      <c r="A65" s="19">
        <v>62</v>
      </c>
      <c r="B65" s="19" t="s">
        <v>568</v>
      </c>
      <c r="C65" s="19" t="s">
        <v>690</v>
      </c>
      <c r="D65" s="19" t="s">
        <v>261</v>
      </c>
      <c r="E65" s="19" t="s">
        <v>48</v>
      </c>
      <c r="F65" s="20" t="str">
        <f>HYPERLINK("http://vacma.ru/contacts/","http://vacma.ru/contacts/")</f>
        <v>http://vacma.ru/contacts/</v>
      </c>
      <c r="G65" s="20" t="str">
        <f>HYPERLINK("https://kazan.hh.ru/employer/75520#vacancy-list","https://kazan.hh.ru/employer/75520#vacancy-list")</f>
        <v>https://kazan.hh.ru/employer/75520#vacancy-list</v>
      </c>
      <c r="H65" s="86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8.5" x14ac:dyDescent="0.35">
      <c r="A66" s="19">
        <v>63</v>
      </c>
      <c r="B66" s="19" t="s">
        <v>569</v>
      </c>
      <c r="C66" s="19" t="s">
        <v>690</v>
      </c>
      <c r="D66" s="19" t="s">
        <v>262</v>
      </c>
      <c r="E66" s="19" t="s">
        <v>48</v>
      </c>
      <c r="F66" s="20" t="str">
        <f>HYPERLINK("http://bulgar-syntez.ru/contacts","http://bulgar-syntez.ru/contacts")</f>
        <v>http://bulgar-syntez.ru/contacts</v>
      </c>
      <c r="G66" s="20" t="str">
        <f>HYPERLINK("https://hh.ru/employer/1739402","https://hh.ru/employer/1739402")</f>
        <v>https://hh.ru/employer/1739402</v>
      </c>
      <c r="H66" s="1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8.5" x14ac:dyDescent="0.35">
      <c r="A67" s="19">
        <v>64</v>
      </c>
      <c r="B67" s="19" t="s">
        <v>570</v>
      </c>
      <c r="C67" s="19" t="s">
        <v>690</v>
      </c>
      <c r="D67" s="19" t="s">
        <v>263</v>
      </c>
      <c r="E67" s="19" t="s">
        <v>48</v>
      </c>
      <c r="F67" s="20" t="str">
        <f>HYPERLINK("http://www.russianhelicopters.aero/ru/kvz/","http://www.russianhelicopters.aero/ru/kvz/")</f>
        <v>http://www.russianhelicopters.aero/ru/kvz/</v>
      </c>
      <c r="G67" s="20" t="str">
        <f>HYPERLINK("https://kazan.hh.ru/employer/138430","https://kazan.hh.ru/employer/138430")</f>
        <v>https://kazan.hh.ru/employer/138430</v>
      </c>
      <c r="H67" s="86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8.5" x14ac:dyDescent="0.35">
      <c r="A68" s="19">
        <v>65</v>
      </c>
      <c r="B68" s="19" t="s">
        <v>572</v>
      </c>
      <c r="C68" s="19" t="s">
        <v>690</v>
      </c>
      <c r="D68" s="19" t="s">
        <v>265</v>
      </c>
      <c r="E68" s="19" t="s">
        <v>48</v>
      </c>
      <c r="F68" s="20" t="str">
        <f>HYPERLINK("http://www.medtech.ru/contacts/","http://www.medtech.ru/contacts/")</f>
        <v>http://www.medtech.ru/contacts/</v>
      </c>
      <c r="G68" s="25"/>
      <c r="H68" s="86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8.5" x14ac:dyDescent="0.35">
      <c r="A69" s="19">
        <v>66</v>
      </c>
      <c r="B69" s="19" t="s">
        <v>571</v>
      </c>
      <c r="C69" s="19" t="s">
        <v>690</v>
      </c>
      <c r="D69" s="19" t="s">
        <v>266</v>
      </c>
      <c r="E69" s="19" t="s">
        <v>48</v>
      </c>
      <c r="F69" s="20" t="str">
        <f>HYPERLINK("http://www.tasma.ru/contacts/","http://www.tasma.ru/contacts/")</f>
        <v>http://www.tasma.ru/contacts/</v>
      </c>
      <c r="G69" s="25"/>
      <c r="H69" s="86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8.5" x14ac:dyDescent="0.35">
      <c r="A70" s="19">
        <v>67</v>
      </c>
      <c r="B70" s="19" t="s">
        <v>674</v>
      </c>
      <c r="C70" s="19" t="s">
        <v>690</v>
      </c>
      <c r="D70" s="19" t="s">
        <v>273</v>
      </c>
      <c r="E70" s="19" t="s">
        <v>48</v>
      </c>
      <c r="F70" s="20" t="str">
        <f>HYPERLINK("https://www.nknh.ru/","https://www.nknh.ru/")</f>
        <v>https://www.nknh.ru/</v>
      </c>
      <c r="G70" s="25"/>
      <c r="H70" s="86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8.5" x14ac:dyDescent="0.35">
      <c r="A71" s="19">
        <v>68</v>
      </c>
      <c r="B71" s="19" t="s">
        <v>580</v>
      </c>
      <c r="C71" s="19" t="s">
        <v>690</v>
      </c>
      <c r="D71" s="19" t="s">
        <v>275</v>
      </c>
      <c r="E71" s="19" t="s">
        <v>48</v>
      </c>
      <c r="F71" s="20" t="str">
        <f>HYPERLINK("http://www.omk.ru/atz/","http://www.omk.ru/atz/")</f>
        <v>http://www.omk.ru/atz/</v>
      </c>
      <c r="G71" s="20" t="str">
        <f>HYPERLINK("https://hh.ru/employer/522","https://hh.ru/employer/522")</f>
        <v>https://hh.ru/employer/522</v>
      </c>
      <c r="H71" s="86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8.5" x14ac:dyDescent="0.35">
      <c r="A72" s="19">
        <v>69</v>
      </c>
      <c r="B72" s="19" t="s">
        <v>573</v>
      </c>
      <c r="C72" s="19" t="s">
        <v>690</v>
      </c>
      <c r="D72" s="19" t="s">
        <v>267</v>
      </c>
      <c r="E72" s="19" t="s">
        <v>48</v>
      </c>
      <c r="F72" s="20" t="str">
        <f>HYPERLINK("http://oooeidos.ru/ru/vacancies.html","http://oooeidos.ru/ru/vacancies.html")</f>
        <v>http://oooeidos.ru/ru/vacancies.html</v>
      </c>
      <c r="G72" s="20" t="str">
        <f>HYPERLINK("https://kazan.hh.ru/employer/936785","https://kazan.hh.ru/employer/936785")</f>
        <v>https://kazan.hh.ru/employer/936785</v>
      </c>
      <c r="H72" s="86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8.5" x14ac:dyDescent="0.35">
      <c r="A73" s="19">
        <v>70</v>
      </c>
      <c r="B73" s="19" t="s">
        <v>575</v>
      </c>
      <c r="C73" s="19" t="s">
        <v>690</v>
      </c>
      <c r="D73" s="19" t="s">
        <v>268</v>
      </c>
      <c r="E73" s="19" t="s">
        <v>48</v>
      </c>
      <c r="F73" s="20" t="str">
        <f>HYPERLINK("http://oooeidos.ru/ru/contacts.html","http://oooeidos.ru/ru/contacts.html")</f>
        <v>http://oooeidos.ru/ru/contacts.html</v>
      </c>
      <c r="G73" s="25"/>
      <c r="H73" s="86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8.5" x14ac:dyDescent="0.35">
      <c r="A74" s="19">
        <v>71</v>
      </c>
      <c r="B74" s="19" t="s">
        <v>576</v>
      </c>
      <c r="C74" s="19" t="s">
        <v>690</v>
      </c>
      <c r="D74" s="19" t="s">
        <v>269</v>
      </c>
      <c r="E74" s="19" t="s">
        <v>48</v>
      </c>
      <c r="F74" s="20" t="str">
        <f>HYPERLINK("http://oooeidos.ru/ru/contacts.html","http://oooeidos.ru/ru/contacts.html")</f>
        <v>http://oooeidos.ru/ru/contacts.html</v>
      </c>
      <c r="G74" s="25"/>
      <c r="H74" s="86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8.5" x14ac:dyDescent="0.35">
      <c r="A75" s="19">
        <v>72</v>
      </c>
      <c r="B75" s="19" t="s">
        <v>574</v>
      </c>
      <c r="C75" s="19" t="s">
        <v>1310</v>
      </c>
      <c r="D75" s="19" t="s">
        <v>270</v>
      </c>
      <c r="E75" s="19" t="s">
        <v>48</v>
      </c>
      <c r="F75" s="20" t="str">
        <f>HYPERLINK("http://oooeidos.ru/ru/contacts.html","http://oooeidos.ru/ru/contacts.html")</f>
        <v>http://oooeidos.ru/ru/contacts.html</v>
      </c>
      <c r="G75" s="25"/>
      <c r="H75" s="86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42.5" x14ac:dyDescent="0.35">
      <c r="A76" s="19">
        <v>73</v>
      </c>
      <c r="B76" s="19" t="s">
        <v>675</v>
      </c>
      <c r="C76" s="19" t="s">
        <v>690</v>
      </c>
      <c r="D76" s="19" t="s">
        <v>676</v>
      </c>
      <c r="E76" s="19" t="s">
        <v>48</v>
      </c>
      <c r="F76" s="20" t="str">
        <f>HYPERLINK("http://www.tatgencom.ru/about/employees/personnel-potential/","http://www.tatgencom.ru/about/employees/personnel-potential/")</f>
        <v>http://www.tatgencom.ru/about/employees/personnel-potential/</v>
      </c>
      <c r="G76" s="25"/>
      <c r="H76" s="86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8.5" x14ac:dyDescent="0.35">
      <c r="A77" s="19">
        <v>74</v>
      </c>
      <c r="B77" s="19" t="s">
        <v>1313</v>
      </c>
      <c r="C77" s="19" t="s">
        <v>690</v>
      </c>
      <c r="D77" s="19" t="s">
        <v>1491</v>
      </c>
      <c r="E77" s="19" t="s">
        <v>48</v>
      </c>
      <c r="F77" s="20" t="str">
        <f>HYPERLINK("http://www.zpkb.com/ru_vakansii/","http://www.zpkb.com/ru_vakansii/")</f>
        <v>http://www.zpkb.com/ru_vakansii/</v>
      </c>
      <c r="G77" s="20" t="str">
        <f>HYPERLINK("https://hh.ru/employer/1114927","https://hh.ru/employer/1114927")</f>
        <v>https://hh.ru/employer/1114927</v>
      </c>
      <c r="H77" s="86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42.5" x14ac:dyDescent="0.35">
      <c r="A78" s="19">
        <v>75</v>
      </c>
      <c r="B78" s="19" t="s">
        <v>1315</v>
      </c>
      <c r="C78" s="19" t="s">
        <v>690</v>
      </c>
      <c r="D78" s="19" t="s">
        <v>1316</v>
      </c>
      <c r="E78" s="19" t="s">
        <v>48</v>
      </c>
      <c r="F78" s="72"/>
      <c r="G78" s="25"/>
      <c r="H78" s="86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8.5" x14ac:dyDescent="0.35">
      <c r="A79" s="19">
        <v>76</v>
      </c>
      <c r="B79" s="19" t="s">
        <v>1317</v>
      </c>
      <c r="C79" s="19" t="s">
        <v>690</v>
      </c>
      <c r="D79" s="19" t="s">
        <v>1318</v>
      </c>
      <c r="E79" s="19" t="s">
        <v>48</v>
      </c>
      <c r="F79" s="20" t="str">
        <f>HYPERLINK("http://d-l-s.ru/","http://d-l-s.ru/")</f>
        <v>http://d-l-s.ru/</v>
      </c>
      <c r="G79" s="20" t="str">
        <f>HYPERLINK("https://tatarstan.hh.ru/employer/1555821","https://tatarstan.hh.ru/employer/1555821")</f>
        <v>https://tatarstan.hh.ru/employer/1555821</v>
      </c>
      <c r="H79" s="86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42.5" x14ac:dyDescent="0.35">
      <c r="A80" s="19">
        <v>77</v>
      </c>
      <c r="B80" s="19" t="s">
        <v>1321</v>
      </c>
      <c r="C80" s="19" t="s">
        <v>668</v>
      </c>
      <c r="D80" s="19" t="s">
        <v>1323</v>
      </c>
      <c r="E80" s="19" t="s">
        <v>48</v>
      </c>
      <c r="F80" s="35" t="s">
        <v>1324</v>
      </c>
      <c r="G80" s="55"/>
      <c r="H80" s="86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8.5" x14ac:dyDescent="0.35">
      <c r="A81" s="19">
        <v>78</v>
      </c>
      <c r="B81" s="19" t="s">
        <v>1325</v>
      </c>
      <c r="C81" s="19" t="s">
        <v>690</v>
      </c>
      <c r="D81" s="19" t="s">
        <v>1327</v>
      </c>
      <c r="E81" s="19" t="s">
        <v>48</v>
      </c>
      <c r="F81" s="46" t="s">
        <v>1329</v>
      </c>
      <c r="G81" s="60"/>
      <c r="H81" s="86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8.5" x14ac:dyDescent="0.35">
      <c r="A82" s="19">
        <v>79</v>
      </c>
      <c r="B82" s="64" t="s">
        <v>1330</v>
      </c>
      <c r="C82" s="64" t="s">
        <v>690</v>
      </c>
      <c r="D82" s="64" t="s">
        <v>1331</v>
      </c>
      <c r="E82" s="64" t="s">
        <v>48</v>
      </c>
      <c r="F82" s="125" t="s">
        <v>1332</v>
      </c>
      <c r="G82" s="60"/>
      <c r="H82" s="86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s="108" customFormat="1" ht="56.5" x14ac:dyDescent="0.35">
      <c r="A83" s="19">
        <v>80</v>
      </c>
      <c r="B83" s="115" t="s">
        <v>1629</v>
      </c>
      <c r="C83" s="115" t="s">
        <v>668</v>
      </c>
      <c r="D83" s="115" t="s">
        <v>1630</v>
      </c>
      <c r="E83" s="115" t="s">
        <v>48</v>
      </c>
      <c r="F83" s="131" t="s">
        <v>1631</v>
      </c>
      <c r="G83" s="143"/>
      <c r="H83" s="86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42.5" x14ac:dyDescent="0.35">
      <c r="A84" s="19">
        <v>81</v>
      </c>
      <c r="B84" s="68" t="s">
        <v>1334</v>
      </c>
      <c r="C84" s="68" t="s">
        <v>668</v>
      </c>
      <c r="D84" s="68" t="s">
        <v>1335</v>
      </c>
      <c r="E84" s="68" t="s">
        <v>597</v>
      </c>
      <c r="F84" s="127" t="str">
        <f>HYPERLINK("http://www.samsmu.ru/contacts/","http://www.samsmu.ru/contacts/")</f>
        <v>http://www.samsmu.ru/contacts/</v>
      </c>
      <c r="G84" s="25"/>
      <c r="H84" s="86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42.5" x14ac:dyDescent="0.35">
      <c r="A85" s="19">
        <v>82</v>
      </c>
      <c r="B85" s="19" t="s">
        <v>1338</v>
      </c>
      <c r="C85" s="19" t="s">
        <v>690</v>
      </c>
      <c r="D85" s="19" t="s">
        <v>1339</v>
      </c>
      <c r="E85" s="19" t="s">
        <v>597</v>
      </c>
      <c r="F85" s="20" t="str">
        <f>HYPERLINK("http://fkp-kommunar.ru/vacancy.html","http://fkp-kommunar.ru/vacancy.html")</f>
        <v>http://fkp-kommunar.ru/vacancy.html</v>
      </c>
      <c r="G85" s="25"/>
      <c r="H85" s="86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42.5" x14ac:dyDescent="0.35">
      <c r="A86" s="19">
        <v>83</v>
      </c>
      <c r="B86" s="19" t="s">
        <v>1341</v>
      </c>
      <c r="C86" s="19" t="s">
        <v>668</v>
      </c>
      <c r="D86" s="19" t="s">
        <v>1490</v>
      </c>
      <c r="E86" s="19" t="s">
        <v>597</v>
      </c>
      <c r="F86" s="20" t="str">
        <f>HYPERLINK("http://www.ssau.ru/info/contacts/","http://www.ssau.ru/info/contacts/")</f>
        <v>http://www.ssau.ru/info/contacts/</v>
      </c>
      <c r="G86" s="20" t="str">
        <f>HYPERLINK("https://hh.ru/employer/1631578","https://hh.ru/employer/1631578")</f>
        <v>https://hh.ru/employer/1631578</v>
      </c>
      <c r="H86" s="86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8.5" x14ac:dyDescent="0.35">
      <c r="A87" s="19">
        <v>84</v>
      </c>
      <c r="B87" s="19" t="s">
        <v>677</v>
      </c>
      <c r="C87" s="19" t="s">
        <v>690</v>
      </c>
      <c r="D87" s="19" t="s">
        <v>360</v>
      </c>
      <c r="E87" s="19" t="s">
        <v>597</v>
      </c>
      <c r="F87" s="20" t="str">
        <f>HYPERLINK("http://www.samspace.ru/about/careers/","http://www.samspace.ru/about/careers/")</f>
        <v>http://www.samspace.ru/about/careers/</v>
      </c>
      <c r="G87" s="25"/>
      <c r="H87" s="86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8.5" x14ac:dyDescent="0.35">
      <c r="A88" s="19">
        <v>85</v>
      </c>
      <c r="B88" s="19" t="s">
        <v>596</v>
      </c>
      <c r="C88" s="19" t="s">
        <v>690</v>
      </c>
      <c r="D88" s="19" t="s">
        <v>361</v>
      </c>
      <c r="E88" s="19" t="s">
        <v>597</v>
      </c>
      <c r="F88" s="20" t="str">
        <f>HYPERLINK("http://www.kuznetsov-motors.ru/company","http://www.kuznetsov-motors.ru/company")</f>
        <v>http://www.kuznetsov-motors.ru/company</v>
      </c>
      <c r="G88" s="25"/>
      <c r="H88" s="86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42.5" x14ac:dyDescent="0.35">
      <c r="A89" s="19">
        <v>86</v>
      </c>
      <c r="B89" s="19" t="s">
        <v>1349</v>
      </c>
      <c r="C89" s="19" t="s">
        <v>668</v>
      </c>
      <c r="D89" s="19" t="s">
        <v>1351</v>
      </c>
      <c r="E89" s="19" t="s">
        <v>597</v>
      </c>
      <c r="F89" s="20" t="str">
        <f>HYPERLINK("http://samgtu.ru/university/structure","http://samgtu.ru/university/structure")</f>
        <v>http://samgtu.ru/university/structure</v>
      </c>
      <c r="G89" s="20" t="str">
        <f>HYPERLINK("https://hh.ru/employer/1751957","https://hh.ru/employer/1751957")</f>
        <v>https://hh.ru/employer/1751957</v>
      </c>
      <c r="H89" s="86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8.5" x14ac:dyDescent="0.35">
      <c r="A90" s="19">
        <v>87</v>
      </c>
      <c r="B90" s="64" t="s">
        <v>1356</v>
      </c>
      <c r="C90" s="64" t="s">
        <v>734</v>
      </c>
      <c r="D90" s="64" t="s">
        <v>1357</v>
      </c>
      <c r="E90" s="64" t="s">
        <v>597</v>
      </c>
      <c r="F90" s="149" t="str">
        <f>HYPERLINK("http://www.razvitie63.ru/","http://www.razvitie63.ru/")</f>
        <v>http://www.razvitie63.ru/</v>
      </c>
      <c r="G90" s="150"/>
      <c r="H90" s="86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s="108" customFormat="1" ht="42.5" x14ac:dyDescent="0.35">
      <c r="A91" s="19">
        <v>88</v>
      </c>
      <c r="B91" s="115" t="s">
        <v>1625</v>
      </c>
      <c r="C91" s="115" t="s">
        <v>690</v>
      </c>
      <c r="D91" s="115" t="s">
        <v>1626</v>
      </c>
      <c r="E91" s="115" t="s">
        <v>597</v>
      </c>
      <c r="F91" s="131" t="s">
        <v>1627</v>
      </c>
      <c r="G91" s="131" t="s">
        <v>1628</v>
      </c>
      <c r="H91" s="86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42.5" x14ac:dyDescent="0.35">
      <c r="A92" s="19">
        <v>89</v>
      </c>
      <c r="B92" s="68" t="s">
        <v>1360</v>
      </c>
      <c r="C92" s="68" t="s">
        <v>668</v>
      </c>
      <c r="D92" s="68" t="s">
        <v>1361</v>
      </c>
      <c r="E92" s="68" t="s">
        <v>598</v>
      </c>
      <c r="F92" s="127" t="str">
        <f>HYPERLINK("http://www.sgmu.ru/info/contact.html","http://www.sgmu.ru/info/contact.html")</f>
        <v>http://www.sgmu.ru/info/contact.html</v>
      </c>
      <c r="G92" s="128"/>
      <c r="H92" s="86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42.5" x14ac:dyDescent="0.35">
      <c r="A93" s="19">
        <v>90</v>
      </c>
      <c r="B93" s="19" t="s">
        <v>1365</v>
      </c>
      <c r="C93" s="19" t="s">
        <v>668</v>
      </c>
      <c r="D93" s="19" t="s">
        <v>1366</v>
      </c>
      <c r="E93" s="19" t="s">
        <v>598</v>
      </c>
      <c r="F93" s="20" t="str">
        <f>HYPERLINK("http://www.sgu.ru/","http://www.sgu.ru/")</f>
        <v>http://www.sgu.ru/</v>
      </c>
      <c r="G93" s="25"/>
      <c r="H93" s="86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8.5" x14ac:dyDescent="0.35">
      <c r="A94" s="19">
        <v>91</v>
      </c>
      <c r="B94" s="19" t="s">
        <v>1372</v>
      </c>
      <c r="C94" s="19" t="s">
        <v>690</v>
      </c>
      <c r="D94" s="19" t="s">
        <v>1373</v>
      </c>
      <c r="E94" s="19" t="s">
        <v>1374</v>
      </c>
      <c r="F94" s="20" t="str">
        <f>HYPERLINK("http://kalashnikovconcern.ru/career/","http://kalashnikovconcern.ru/career/")</f>
        <v>http://kalashnikovconcern.ru/career/</v>
      </c>
      <c r="G94" s="20" t="str">
        <f>HYPERLINK("https://hh.ru/employer/981","https://hh.ru/employer/981")</f>
        <v>https://hh.ru/employer/981</v>
      </c>
      <c r="H94" s="86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42.5" x14ac:dyDescent="0.35">
      <c r="A95" s="19">
        <v>92</v>
      </c>
      <c r="B95" s="19" t="s">
        <v>585</v>
      </c>
      <c r="C95" s="19" t="s">
        <v>668</v>
      </c>
      <c r="D95" s="19" t="s">
        <v>278</v>
      </c>
      <c r="E95" s="19" t="s">
        <v>1374</v>
      </c>
      <c r="F95" s="20" t="str">
        <f>HYPERLINK("http://www.istu.ru/obshchaya-informatsiya/rekvizit","http://www.istu.ru/obshchaya-informatsiya/rekvizit")</f>
        <v>http://www.istu.ru/obshchaya-informatsiya/rekvizit</v>
      </c>
      <c r="G95" s="25"/>
      <c r="H95" s="86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8.5" x14ac:dyDescent="0.35">
      <c r="A96" s="19">
        <v>93</v>
      </c>
      <c r="B96" s="19" t="s">
        <v>678</v>
      </c>
      <c r="C96" s="19" t="s">
        <v>690</v>
      </c>
      <c r="D96" s="19" t="s">
        <v>679</v>
      </c>
      <c r="E96" s="19" t="s">
        <v>1374</v>
      </c>
      <c r="F96" s="20" t="str">
        <f>HYPERLINK("http://www.chmz.net/about/policy/","http://www.chmz.net/about/policy/")</f>
        <v>http://www.chmz.net/about/policy/</v>
      </c>
      <c r="G96" s="20" t="str">
        <f>HYPERLINK("https://hh.ru/employer/2018867","https://hh.ru/employer/2018867")</f>
        <v>https://hh.ru/employer/2018867</v>
      </c>
      <c r="H96" s="86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8.5" x14ac:dyDescent="0.35">
      <c r="A97" s="19">
        <v>94</v>
      </c>
      <c r="B97" s="19" t="s">
        <v>1377</v>
      </c>
      <c r="C97" s="19" t="s">
        <v>690</v>
      </c>
      <c r="D97" s="19" t="s">
        <v>1378</v>
      </c>
      <c r="E97" s="19" t="s">
        <v>1374</v>
      </c>
      <c r="F97" s="20" t="str">
        <f>HYPERLINK("http://www.irz.ru/career.htm","http://www.irz.ru/career.htm")</f>
        <v>http://www.irz.ru/career.htm</v>
      </c>
      <c r="G97" s="25"/>
      <c r="H97" s="86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8.5" x14ac:dyDescent="0.35">
      <c r="A98" s="19">
        <v>95</v>
      </c>
      <c r="B98" s="19" t="s">
        <v>680</v>
      </c>
      <c r="C98" s="19" t="s">
        <v>690</v>
      </c>
      <c r="D98" s="19" t="s">
        <v>281</v>
      </c>
      <c r="E98" s="19" t="s">
        <v>1374</v>
      </c>
      <c r="F98" s="20" t="str">
        <f>HYPERLINK("http://www.elecond.ru/kontakty_spravochnik.php","http://www.elecond.ru/kontakty_spravochnik.php")</f>
        <v>http://www.elecond.ru/kontakty_spravochnik.php</v>
      </c>
      <c r="G98" s="25"/>
      <c r="H98" s="86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8.5" x14ac:dyDescent="0.35">
      <c r="A99" s="19">
        <v>96</v>
      </c>
      <c r="B99" s="19" t="s">
        <v>584</v>
      </c>
      <c r="C99" s="19" t="s">
        <v>690</v>
      </c>
      <c r="D99" s="19" t="s">
        <v>279</v>
      </c>
      <c r="E99" s="19" t="s">
        <v>1374</v>
      </c>
      <c r="F99" s="20" t="str">
        <f>HYPERLINK("http://www.baikalinc.ru/ru/info/vacancy.html","http://www.baikalinc.ru/ru/info/vacancy.html")</f>
        <v>http://www.baikalinc.ru/ru/info/vacancy.html</v>
      </c>
      <c r="G99" s="20" t="str">
        <f>HYPERLINK("https://ulyanovsk.hh.ru/employer/1313009","https://ulyanovsk.hh.ru/employer/1313009")</f>
        <v>https://ulyanovsk.hh.ru/employer/1313009</v>
      </c>
      <c r="H99" s="86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8.5" x14ac:dyDescent="0.35">
      <c r="A100" s="19">
        <v>97</v>
      </c>
      <c r="B100" s="19" t="s">
        <v>583</v>
      </c>
      <c r="C100" s="19" t="s">
        <v>690</v>
      </c>
      <c r="D100" s="19" t="s">
        <v>280</v>
      </c>
      <c r="E100" s="19" t="s">
        <v>1374</v>
      </c>
      <c r="F100" s="20" t="str">
        <f>HYPERLINK("http://niti-progress.ru/vakansii","http://niti-progress.ru/vakansii")</f>
        <v>http://niti-progress.ru/vakansii</v>
      </c>
      <c r="G100" s="20" t="str">
        <f>HYPERLINK("https://hh.ru/employer/998651","https://hh.ru/employer/998651")</f>
        <v>https://hh.ru/employer/998651</v>
      </c>
      <c r="H100" s="86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8.5" x14ac:dyDescent="0.35">
      <c r="A101" s="19">
        <v>98</v>
      </c>
      <c r="B101" s="19" t="s">
        <v>581</v>
      </c>
      <c r="C101" s="19" t="s">
        <v>690</v>
      </c>
      <c r="D101" s="19" t="s">
        <v>582</v>
      </c>
      <c r="E101" s="19" t="s">
        <v>1374</v>
      </c>
      <c r="F101" s="20" t="str">
        <f>HYPERLINK("http://www.mechel.ru/sector/steel/izhstal/contacts/","http://www.mechel.ru/sector/steel/izhstal/contacts/")</f>
        <v>http://www.mechel.ru/sector/steel/izhstal/contacts/</v>
      </c>
      <c r="G101" s="20" t="str">
        <f>HYPERLINK("https://hh.ru/employer/5416","https://hh.ru/employer/5416")</f>
        <v>https://hh.ru/employer/5416</v>
      </c>
      <c r="H101" s="86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8.5" x14ac:dyDescent="0.35">
      <c r="A102" s="19">
        <v>99</v>
      </c>
      <c r="B102" s="19" t="s">
        <v>1379</v>
      </c>
      <c r="C102" s="19" t="s">
        <v>668</v>
      </c>
      <c r="D102" s="19" t="s">
        <v>1380</v>
      </c>
      <c r="E102" s="19" t="s">
        <v>139</v>
      </c>
      <c r="F102" s="20" t="str">
        <f>HYPERLINK("http://www.ulsu.ru/contacts/","http://www.ulsu.ru/contacts/")</f>
        <v>http://www.ulsu.ru/contacts/</v>
      </c>
      <c r="G102" s="20" t="str">
        <f>HYPERLINK("https://ulyanovsk.hh.ru/employer/952880","https://ulyanovsk.hh.ru/employer/952880")</f>
        <v>https://ulyanovsk.hh.ru/employer/952880</v>
      </c>
      <c r="H102" s="86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8.5" x14ac:dyDescent="0.35">
      <c r="A103" s="19">
        <v>100</v>
      </c>
      <c r="B103" s="19" t="s">
        <v>1381</v>
      </c>
      <c r="C103" s="19" t="s">
        <v>692</v>
      </c>
      <c r="D103" s="19" t="s">
        <v>1382</v>
      </c>
      <c r="E103" s="19" t="s">
        <v>139</v>
      </c>
      <c r="F103" s="20" t="str">
        <f>HYPERLINK("http://www.niiar.ru/","http://www.niiar.ru/")</f>
        <v>http://www.niiar.ru/</v>
      </c>
      <c r="G103" s="20" t="str">
        <f>HYPERLINK("https://hh.ru/employer/577743","https://hh.ru/employer/577743")</f>
        <v>https://hh.ru/employer/577743</v>
      </c>
      <c r="H103" s="86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42.5" x14ac:dyDescent="0.35">
      <c r="A104" s="19">
        <v>101</v>
      </c>
      <c r="B104" s="19" t="s">
        <v>641</v>
      </c>
      <c r="C104" s="19" t="s">
        <v>690</v>
      </c>
      <c r="D104" s="19" t="s">
        <v>681</v>
      </c>
      <c r="E104" s="19" t="s">
        <v>139</v>
      </c>
      <c r="F104" s="20" t="str">
        <f>HYPERLINK("http://www.volga-dnepr.com/about/career/vacancies/","http://www.volga-dnepr.com/about/career/vacancies/")</f>
        <v>http://www.volga-dnepr.com/about/career/vacancies/</v>
      </c>
      <c r="G104" s="20" t="str">
        <f>HYPERLINK("https://hh.ru/employer/2346","https://hh.ru/employer/2346")</f>
        <v>https://hh.ru/employer/2346</v>
      </c>
      <c r="H104" s="86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8.5" x14ac:dyDescent="0.35">
      <c r="A105" s="19">
        <v>102</v>
      </c>
      <c r="B105" s="19" t="s">
        <v>640</v>
      </c>
      <c r="C105" s="19" t="s">
        <v>690</v>
      </c>
      <c r="D105" s="19" t="s">
        <v>374</v>
      </c>
      <c r="E105" s="19" t="s">
        <v>139</v>
      </c>
      <c r="F105" s="20" t="str">
        <f>HYPERLINK("http://www.diamix.eu/ru/about/","http://www.diamix.eu/ru/about/")</f>
        <v>http://www.diamix.eu/ru/about/</v>
      </c>
      <c r="G105" s="25"/>
      <c r="H105" s="86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8.5" x14ac:dyDescent="0.35">
      <c r="A106" s="19">
        <v>103</v>
      </c>
      <c r="B106" s="19" t="s">
        <v>1383</v>
      </c>
      <c r="C106" s="19" t="s">
        <v>690</v>
      </c>
      <c r="D106" s="19" t="s">
        <v>1384</v>
      </c>
      <c r="E106" s="19" t="s">
        <v>139</v>
      </c>
      <c r="F106" s="20" t="str">
        <f>HYPERLINK("http://www.aviastar-sp.ru/career/applicants/","http://www.aviastar-sp.ru/career/applicants/")</f>
        <v>http://www.aviastar-sp.ru/career/applicants/</v>
      </c>
      <c r="G106" s="20" t="str">
        <f>HYPERLINK("https://hh.ru/employer/50938","https://hh.ru/employer/50938")</f>
        <v>https://hh.ru/employer/50938</v>
      </c>
      <c r="H106" s="86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56.5" x14ac:dyDescent="0.35">
      <c r="A107" s="19">
        <v>104</v>
      </c>
      <c r="B107" s="19" t="s">
        <v>588</v>
      </c>
      <c r="C107" s="19" t="s">
        <v>690</v>
      </c>
      <c r="D107" s="19" t="s">
        <v>578</v>
      </c>
      <c r="E107" s="19" t="s">
        <v>682</v>
      </c>
      <c r="F107" s="20" t="str">
        <f>HYPERLINK("http://izva.ru/%D0%B2%D0%B0%D0%BA%D0%B0%D0%BD%D1%81%D0%B8%D0%B8/","http://izva.ru/%D0%B2%D0%B0%D0%BA%D0%B0%D0%BD%D1%81%D0%B8%D0%B8/")</f>
        <v>http://izva.ru/%D0%B2%D0%B0%D0%BA%D0%B0%D0%BD%D1%81%D0%B8%D0%B8/</v>
      </c>
      <c r="G107" s="25"/>
      <c r="H107" s="86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8.5" x14ac:dyDescent="0.35">
      <c r="A108" s="64">
        <v>105</v>
      </c>
      <c r="B108" s="19" t="s">
        <v>683</v>
      </c>
      <c r="C108" s="19" t="s">
        <v>690</v>
      </c>
      <c r="D108" s="19" t="s">
        <v>579</v>
      </c>
      <c r="E108" s="19" t="s">
        <v>682</v>
      </c>
      <c r="F108" s="20" t="str">
        <f>HYPERLINK("http://www.cheaz.ru/ru/announcement/vacancies/1/","http://www.cheaz.ru/ru/announcement/vacancies/1/")</f>
        <v>http://www.cheaz.ru/ru/announcement/vacancies/1/</v>
      </c>
      <c r="G108" s="20" t="str">
        <f>HYPERLINK("https://hh.ru/employer/676551","https://hh.ru/employer/676551")</f>
        <v>https://hh.ru/employer/676551</v>
      </c>
      <c r="H108" s="86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35">
      <c r="A109" s="162"/>
      <c r="B109" s="1"/>
      <c r="C109" s="70"/>
      <c r="D109" s="1"/>
      <c r="E109" s="70"/>
      <c r="F109" s="5"/>
      <c r="G109" s="15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35">
      <c r="A110" s="7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35">
      <c r="A111" s="7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35">
      <c r="A112" s="7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35">
      <c r="A113" s="7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35">
      <c r="A114" s="7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35">
      <c r="A115" s="7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35">
      <c r="A116" s="7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35">
      <c r="A117" s="7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35">
      <c r="A118" s="7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35">
      <c r="A119" s="7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35">
      <c r="A120" s="7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35">
      <c r="A121" s="7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35">
      <c r="A122" s="7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35">
      <c r="A123" s="7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35">
      <c r="A124" s="7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35">
      <c r="A125" s="7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35">
      <c r="A126" s="7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35">
      <c r="A127" s="7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35">
      <c r="A128" s="7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35">
      <c r="A129" s="7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35">
      <c r="A130" s="7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35">
      <c r="A131" s="7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35">
      <c r="A132" s="7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35">
      <c r="A133" s="7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35">
      <c r="A134" s="7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35">
      <c r="A135" s="7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35">
      <c r="A136" s="7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35">
      <c r="A137" s="7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35">
      <c r="A138" s="7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35">
      <c r="A139" s="7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35">
      <c r="A140" s="7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35">
      <c r="A141" s="7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35">
      <c r="A142" s="7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35">
      <c r="A143" s="7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35">
      <c r="A144" s="7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35">
      <c r="A145" s="7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35">
      <c r="A146" s="7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35">
      <c r="A147" s="7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35">
      <c r="A148" s="7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35">
      <c r="A149" s="7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35">
      <c r="A150" s="7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35">
      <c r="A151" s="7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35">
      <c r="A152" s="7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35">
      <c r="A153" s="7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35">
      <c r="A154" s="7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35">
      <c r="A155" s="7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35">
      <c r="A156" s="7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35">
      <c r="A157" s="7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35">
      <c r="A158" s="7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35">
      <c r="A159" s="7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35">
      <c r="A160" s="7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35">
      <c r="A161" s="7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35">
      <c r="A162" s="7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35">
      <c r="A163" s="7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35">
      <c r="A164" s="7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35">
      <c r="A165" s="7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35">
      <c r="A166" s="7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35">
      <c r="A167" s="7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35">
      <c r="A168" s="7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35">
      <c r="A169" s="7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35">
      <c r="A170" s="7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35">
      <c r="A171" s="7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35">
      <c r="A172" s="7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35">
      <c r="A173" s="7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35">
      <c r="A174" s="7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35">
      <c r="A175" s="7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35">
      <c r="A176" s="7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35">
      <c r="A177" s="7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35">
      <c r="A178" s="7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35">
      <c r="A179" s="7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35">
      <c r="A180" s="7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35">
      <c r="A181" s="7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35">
      <c r="A182" s="7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35">
      <c r="A183" s="7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35">
      <c r="A184" s="7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35">
      <c r="A185" s="7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35">
      <c r="A186" s="7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35">
      <c r="A187" s="7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35">
      <c r="A188" s="7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35">
      <c r="A189" s="7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35">
      <c r="A190" s="7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35">
      <c r="A191" s="7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35">
      <c r="A192" s="7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35">
      <c r="A193" s="7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35">
      <c r="A194" s="7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35">
      <c r="A195" s="7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35">
      <c r="A196" s="7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35">
      <c r="A197" s="7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35">
      <c r="A198" s="7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35">
      <c r="A199" s="7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35">
      <c r="A200" s="7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35">
      <c r="A201" s="7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35">
      <c r="A202" s="7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35">
      <c r="A203" s="7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35">
      <c r="A204" s="7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35">
      <c r="A205" s="7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35">
      <c r="A206" s="7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35">
      <c r="A207" s="7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35">
      <c r="A208" s="7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35">
      <c r="A209" s="7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35">
      <c r="A210" s="7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35">
      <c r="A211" s="7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35">
      <c r="A212" s="7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35">
      <c r="A213" s="7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35">
      <c r="A214" s="7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35">
      <c r="A215" s="7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35">
      <c r="A216" s="7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35">
      <c r="A217" s="7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35">
      <c r="A218" s="7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35">
      <c r="A219" s="7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35">
      <c r="A220" s="7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35">
      <c r="A221" s="7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35">
      <c r="A222" s="7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35">
      <c r="A223" s="7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35">
      <c r="A224" s="7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35">
      <c r="A225" s="7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35">
      <c r="A226" s="7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35">
      <c r="A227" s="7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35">
      <c r="A228" s="7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35">
      <c r="A229" s="7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35">
      <c r="A230" s="7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35">
      <c r="A231" s="7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35">
      <c r="A232" s="7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35">
      <c r="A233" s="7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35">
      <c r="A234" s="7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35">
      <c r="A235" s="7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35">
      <c r="A236" s="7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35">
      <c r="A237" s="7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35">
      <c r="A238" s="7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35">
      <c r="A239" s="7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35">
      <c r="A240" s="7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35">
      <c r="A241" s="7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35">
      <c r="A242" s="7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35">
      <c r="A243" s="7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35">
      <c r="A244" s="7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35">
      <c r="A245" s="7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35">
      <c r="A246" s="7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35">
      <c r="A247" s="7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35">
      <c r="A248" s="7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35">
      <c r="A249" s="7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35">
      <c r="A250" s="7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35">
      <c r="A251" s="7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35">
      <c r="A252" s="7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35">
      <c r="A253" s="7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35">
      <c r="A254" s="7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35">
      <c r="A255" s="7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35">
      <c r="A256" s="7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35">
      <c r="A257" s="7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35">
      <c r="A258" s="7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35">
      <c r="A259" s="7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35">
      <c r="A260" s="7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35">
      <c r="A261" s="7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35">
      <c r="A262" s="7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35">
      <c r="A263" s="7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35">
      <c r="A264" s="7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35">
      <c r="A265" s="7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35">
      <c r="A266" s="7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35">
      <c r="A267" s="7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35">
      <c r="A268" s="7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35">
      <c r="A269" s="7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35">
      <c r="A270" s="7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35">
      <c r="A271" s="7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35">
      <c r="A272" s="7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35">
      <c r="A273" s="7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35">
      <c r="A274" s="7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35">
      <c r="A275" s="7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35">
      <c r="A276" s="7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35">
      <c r="A277" s="7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35">
      <c r="A278" s="7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35">
      <c r="A279" s="7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35">
      <c r="A280" s="7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35">
      <c r="A281" s="7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35">
      <c r="A282" s="7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35">
      <c r="A283" s="7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35">
      <c r="A284" s="7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35">
      <c r="A285" s="7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35">
      <c r="A286" s="7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35">
      <c r="A287" s="7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35">
      <c r="A288" s="7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35">
      <c r="A289" s="7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35">
      <c r="A290" s="7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35">
      <c r="A291" s="7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35">
      <c r="A292" s="7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35">
      <c r="A293" s="7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35">
      <c r="A294" s="7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35">
      <c r="A295" s="7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35">
      <c r="A296" s="7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35">
      <c r="A297" s="7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35">
      <c r="A298" s="7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35">
      <c r="A299" s="7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35">
      <c r="A300" s="7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35">
      <c r="A301" s="7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35">
      <c r="A302" s="7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35">
      <c r="A303" s="7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35">
      <c r="A304" s="7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35">
      <c r="A305" s="7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35">
      <c r="A306" s="7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35">
      <c r="A307" s="7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35">
      <c r="A308" s="7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35">
      <c r="A309" s="7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35">
      <c r="A310" s="7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35">
      <c r="A311" s="7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35">
      <c r="A312" s="7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35">
      <c r="A313" s="7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35">
      <c r="A314" s="7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35">
      <c r="A315" s="7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35">
      <c r="A316" s="7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35">
      <c r="A317" s="7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35">
      <c r="A318" s="7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35">
      <c r="A319" s="7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35">
      <c r="A320" s="7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35">
      <c r="A321" s="7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35">
      <c r="A322" s="7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35">
      <c r="A323" s="7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35">
      <c r="A324" s="7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35">
      <c r="A325" s="7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35">
      <c r="A326" s="7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35">
      <c r="A327" s="7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35">
      <c r="A328" s="7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35">
      <c r="A329" s="7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35">
      <c r="A330" s="7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35">
      <c r="A331" s="7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35">
      <c r="A332" s="7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35">
      <c r="A333" s="7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35">
      <c r="A334" s="7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35">
      <c r="A335" s="7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35">
      <c r="A336" s="7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35">
      <c r="A337" s="7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35">
      <c r="A338" s="7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35">
      <c r="A339" s="7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35">
      <c r="A340" s="7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35">
      <c r="A341" s="7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35">
      <c r="A342" s="7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35">
      <c r="A343" s="7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35">
      <c r="A344" s="7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35">
      <c r="A345" s="7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35">
      <c r="A346" s="7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35">
      <c r="A347" s="7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35">
      <c r="A348" s="7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35">
      <c r="A349" s="7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35">
      <c r="A350" s="7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35">
      <c r="A351" s="7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35">
      <c r="A352" s="7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35">
      <c r="A353" s="7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35">
      <c r="A354" s="7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35">
      <c r="A355" s="7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35">
      <c r="A356" s="7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35">
      <c r="A357" s="7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35">
      <c r="A358" s="7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35">
      <c r="A359" s="7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35">
      <c r="A360" s="7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35">
      <c r="A361" s="7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35">
      <c r="A362" s="7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35">
      <c r="A363" s="7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35">
      <c r="A364" s="7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35">
      <c r="A365" s="7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35">
      <c r="A366" s="7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35">
      <c r="A367" s="7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35">
      <c r="A368" s="7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35">
      <c r="A369" s="7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35">
      <c r="A370" s="7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35">
      <c r="A371" s="7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35">
      <c r="A372" s="7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35">
      <c r="A373" s="7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35">
      <c r="A374" s="7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35">
      <c r="A375" s="7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35">
      <c r="A376" s="7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35">
      <c r="A377" s="7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35">
      <c r="A378" s="7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35">
      <c r="A379" s="7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35">
      <c r="A380" s="7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35">
      <c r="A381" s="7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35">
      <c r="A382" s="7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35">
      <c r="A383" s="7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35">
      <c r="A384" s="7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35">
      <c r="A385" s="7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35">
      <c r="A386" s="7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35">
      <c r="A387" s="7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35">
      <c r="A388" s="7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35">
      <c r="A389" s="7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35">
      <c r="A390" s="7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35">
      <c r="A391" s="7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35">
      <c r="A392" s="7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35">
      <c r="A393" s="7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35">
      <c r="A394" s="7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35">
      <c r="A395" s="7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35">
      <c r="A396" s="7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35">
      <c r="A397" s="7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35">
      <c r="A398" s="7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35">
      <c r="A399" s="7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35">
      <c r="A400" s="7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35">
      <c r="A401" s="7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35">
      <c r="A402" s="7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35">
      <c r="A403" s="7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35">
      <c r="A404" s="7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35">
      <c r="A405" s="7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35">
      <c r="A406" s="7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35">
      <c r="A407" s="7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35">
      <c r="A408" s="7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35">
      <c r="A409" s="7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35">
      <c r="A410" s="7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35">
      <c r="A411" s="7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35">
      <c r="A412" s="7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35">
      <c r="A413" s="7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35">
      <c r="A414" s="7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35">
      <c r="A415" s="7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35">
      <c r="A416" s="7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35">
      <c r="A417" s="7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35">
      <c r="A418" s="7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35">
      <c r="A419" s="7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35">
      <c r="A420" s="7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35">
      <c r="A421" s="7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35">
      <c r="A422" s="7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35">
      <c r="A423" s="7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35">
      <c r="A424" s="7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35">
      <c r="A425" s="7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35">
      <c r="A426" s="7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35">
      <c r="A427" s="7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35">
      <c r="A428" s="7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35">
      <c r="A429" s="7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35">
      <c r="A430" s="7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35">
      <c r="A431" s="7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35">
      <c r="A432" s="7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35">
      <c r="A433" s="7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35">
      <c r="A434" s="7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35">
      <c r="A435" s="7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35">
      <c r="A436" s="7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35">
      <c r="A437" s="7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35">
      <c r="A438" s="7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35">
      <c r="A439" s="7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35">
      <c r="A440" s="7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35">
      <c r="A441" s="7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35">
      <c r="A442" s="7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35">
      <c r="A443" s="7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35">
      <c r="A444" s="7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35">
      <c r="A445" s="7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35">
      <c r="A446" s="7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35">
      <c r="A447" s="7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35">
      <c r="A448" s="7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35">
      <c r="A449" s="7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35">
      <c r="A450" s="7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35">
      <c r="A451" s="7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35">
      <c r="A452" s="7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35">
      <c r="A453" s="7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35">
      <c r="A454" s="7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35">
      <c r="A455" s="7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35">
      <c r="A456" s="7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35">
      <c r="A457" s="7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35">
      <c r="A458" s="7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35">
      <c r="A459" s="7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35">
      <c r="A460" s="7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35">
      <c r="A461" s="7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35">
      <c r="A462" s="7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35">
      <c r="A463" s="7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35">
      <c r="A464" s="7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35">
      <c r="A465" s="7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35">
      <c r="A466" s="7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35">
      <c r="A467" s="7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35">
      <c r="A468" s="7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35">
      <c r="A469" s="7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35">
      <c r="A470" s="7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35">
      <c r="A471" s="7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35">
      <c r="A472" s="7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35">
      <c r="A473" s="7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35">
      <c r="A474" s="7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35">
      <c r="A475" s="7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35">
      <c r="A476" s="7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35">
      <c r="A477" s="7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35">
      <c r="A478" s="7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35">
      <c r="A479" s="7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35">
      <c r="A480" s="7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35">
      <c r="A481" s="7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35">
      <c r="A482" s="7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35">
      <c r="A483" s="7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35">
      <c r="A484" s="7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35">
      <c r="A485" s="7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35">
      <c r="A486" s="7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35">
      <c r="A487" s="7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35">
      <c r="A488" s="7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35">
      <c r="A489" s="7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35">
      <c r="A490" s="7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35">
      <c r="A491" s="7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35">
      <c r="A492" s="7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35">
      <c r="A493" s="7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35">
      <c r="A494" s="7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35">
      <c r="A495" s="7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35">
      <c r="A496" s="7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35">
      <c r="A497" s="7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35">
      <c r="A498" s="7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35">
      <c r="A499" s="7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35">
      <c r="A500" s="7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35">
      <c r="A501" s="7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35">
      <c r="A502" s="7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35">
      <c r="A503" s="7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35">
      <c r="A504" s="7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35">
      <c r="A505" s="7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35">
      <c r="A506" s="7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35">
      <c r="A507" s="7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35">
      <c r="A508" s="7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35">
      <c r="A509" s="7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35">
      <c r="A510" s="7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35">
      <c r="A511" s="7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35">
      <c r="A512" s="7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35">
      <c r="A513" s="7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35">
      <c r="A514" s="7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35">
      <c r="A515" s="7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35">
      <c r="A516" s="7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35">
      <c r="A517" s="7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35">
      <c r="A518" s="7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35">
      <c r="A519" s="7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35">
      <c r="A520" s="7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35">
      <c r="A521" s="7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35">
      <c r="A522" s="7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35">
      <c r="A523" s="7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35">
      <c r="A524" s="7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35">
      <c r="A525" s="7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35">
      <c r="A526" s="7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35">
      <c r="A527" s="7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35">
      <c r="A528" s="7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35">
      <c r="A529" s="7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35">
      <c r="A530" s="7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35">
      <c r="A531" s="7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35">
      <c r="A532" s="7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35">
      <c r="A533" s="7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35">
      <c r="A534" s="7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35">
      <c r="A535" s="7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35">
      <c r="A536" s="7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35">
      <c r="A537" s="7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35">
      <c r="A538" s="7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35">
      <c r="A539" s="7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35">
      <c r="A540" s="7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35">
      <c r="A541" s="7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35">
      <c r="A542" s="7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35">
      <c r="A543" s="7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35">
      <c r="A544" s="7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35">
      <c r="A545" s="7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35">
      <c r="A546" s="7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35">
      <c r="A547" s="7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35">
      <c r="A548" s="7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35">
      <c r="A549" s="7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35">
      <c r="A550" s="7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35">
      <c r="A551" s="7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35">
      <c r="A552" s="7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35">
      <c r="A553" s="7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35">
      <c r="A554" s="7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35">
      <c r="A555" s="7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35">
      <c r="A556" s="7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35">
      <c r="A557" s="7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35">
      <c r="A558" s="7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35">
      <c r="A559" s="7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35">
      <c r="A560" s="7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35">
      <c r="A561" s="7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35">
      <c r="A562" s="7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35">
      <c r="A563" s="7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35">
      <c r="A564" s="7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35">
      <c r="A565" s="7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35">
      <c r="A566" s="7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35">
      <c r="A567" s="7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35">
      <c r="A568" s="7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35">
      <c r="A569" s="7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35">
      <c r="A570" s="7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35">
      <c r="A571" s="7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35">
      <c r="A572" s="7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35">
      <c r="A573" s="7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35">
      <c r="A574" s="7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35">
      <c r="A575" s="7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35">
      <c r="A576" s="7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35">
      <c r="A577" s="7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35">
      <c r="A578" s="7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35">
      <c r="A579" s="7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35">
      <c r="A580" s="7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35">
      <c r="A581" s="7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35">
      <c r="A582" s="7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35">
      <c r="A583" s="7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35">
      <c r="A584" s="7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35">
      <c r="A585" s="7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35">
      <c r="A586" s="7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35">
      <c r="A587" s="7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35">
      <c r="A588" s="7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35">
      <c r="A589" s="7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35">
      <c r="A590" s="7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35">
      <c r="A591" s="7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35">
      <c r="A592" s="7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35">
      <c r="A593" s="7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35">
      <c r="A594" s="7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35">
      <c r="A595" s="7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35">
      <c r="A596" s="7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35">
      <c r="A597" s="7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35">
      <c r="A598" s="7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35">
      <c r="A599" s="7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35">
      <c r="A600" s="7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35">
      <c r="A601" s="7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35">
      <c r="A602" s="7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35">
      <c r="A603" s="7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35">
      <c r="A604" s="7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35">
      <c r="A605" s="7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35">
      <c r="A606" s="7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35">
      <c r="A607" s="7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35">
      <c r="A608" s="7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35">
      <c r="A609" s="7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35">
      <c r="A610" s="7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35">
      <c r="A611" s="7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35">
      <c r="A612" s="7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35">
      <c r="A613" s="7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35">
      <c r="A614" s="7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35">
      <c r="A615" s="7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35">
      <c r="A616" s="7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35">
      <c r="A617" s="7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35">
      <c r="A618" s="7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35">
      <c r="A619" s="7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35">
      <c r="A620" s="7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35">
      <c r="A621" s="7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35">
      <c r="A622" s="7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35">
      <c r="A623" s="7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35">
      <c r="A624" s="7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35">
      <c r="A625" s="7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35">
      <c r="A626" s="7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35">
      <c r="A627" s="7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35">
      <c r="A628" s="7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35">
      <c r="A629" s="7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35">
      <c r="A630" s="7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35">
      <c r="A631" s="7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35">
      <c r="A632" s="7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35">
      <c r="A633" s="7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35">
      <c r="A634" s="7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35">
      <c r="A635" s="7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35">
      <c r="A636" s="7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35">
      <c r="A637" s="7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35">
      <c r="A638" s="7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35">
      <c r="A639" s="7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35">
      <c r="A640" s="7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35">
      <c r="A641" s="7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35">
      <c r="A642" s="7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35">
      <c r="A643" s="7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35">
      <c r="A644" s="7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35">
      <c r="A645" s="7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35">
      <c r="A646" s="7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35">
      <c r="A647" s="7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35">
      <c r="A648" s="7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35">
      <c r="A649" s="7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35">
      <c r="A650" s="7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35">
      <c r="A651" s="7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35">
      <c r="A652" s="7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35">
      <c r="A653" s="7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35">
      <c r="A654" s="7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35">
      <c r="A655" s="7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35">
      <c r="A656" s="7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35">
      <c r="A657" s="7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35">
      <c r="A658" s="7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35">
      <c r="A659" s="7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35">
      <c r="A660" s="7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35">
      <c r="A661" s="7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35">
      <c r="A662" s="7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35">
      <c r="A663" s="7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35">
      <c r="A664" s="7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35">
      <c r="A665" s="7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35">
      <c r="A666" s="7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35">
      <c r="A667" s="7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35">
      <c r="A668" s="7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35">
      <c r="A669" s="7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35">
      <c r="A670" s="7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35">
      <c r="A671" s="7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35">
      <c r="A672" s="7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35">
      <c r="A673" s="7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35">
      <c r="A674" s="7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35">
      <c r="A675" s="7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35">
      <c r="A676" s="7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35">
      <c r="A677" s="7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35">
      <c r="A678" s="7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35">
      <c r="A679" s="7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35">
      <c r="A680" s="7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35">
      <c r="A681" s="7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35">
      <c r="A682" s="7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35">
      <c r="A683" s="7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35">
      <c r="A684" s="7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35">
      <c r="A685" s="7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35">
      <c r="A686" s="7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35">
      <c r="A687" s="7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35">
      <c r="A688" s="7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35">
      <c r="A689" s="7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35">
      <c r="A690" s="7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35">
      <c r="A691" s="7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35">
      <c r="A692" s="7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35">
      <c r="A693" s="7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35">
      <c r="A694" s="7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35">
      <c r="A695" s="7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35">
      <c r="A696" s="7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35">
      <c r="A697" s="7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35">
      <c r="A698" s="7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35">
      <c r="A699" s="7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35">
      <c r="A700" s="7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35">
      <c r="A701" s="7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35">
      <c r="A702" s="7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35">
      <c r="A703" s="7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35">
      <c r="A704" s="7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35">
      <c r="A705" s="7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35">
      <c r="A706" s="7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35">
      <c r="A707" s="7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35">
      <c r="A708" s="7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35">
      <c r="A709" s="7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35">
      <c r="A710" s="7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35">
      <c r="A711" s="7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35">
      <c r="A712" s="7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35">
      <c r="A713" s="7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35">
      <c r="A714" s="7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35">
      <c r="A715" s="7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35">
      <c r="A716" s="7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35">
      <c r="A717" s="7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35">
      <c r="A718" s="7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35">
      <c r="A719" s="7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35">
      <c r="A720" s="7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35">
      <c r="A721" s="7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35">
      <c r="A722" s="7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35">
      <c r="A723" s="7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35">
      <c r="A724" s="7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35">
      <c r="A725" s="7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35">
      <c r="A726" s="7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35">
      <c r="A727" s="7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35">
      <c r="A728" s="7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35">
      <c r="A729" s="7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35">
      <c r="A730" s="7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35">
      <c r="A731" s="7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35">
      <c r="A732" s="7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35">
      <c r="A733" s="7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35">
      <c r="A734" s="7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35">
      <c r="A735" s="7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35">
      <c r="A736" s="7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35">
      <c r="A737" s="7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35">
      <c r="A738" s="7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35">
      <c r="A739" s="7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35">
      <c r="A740" s="7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35">
      <c r="A741" s="7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35">
      <c r="A742" s="7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35">
      <c r="A743" s="7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35">
      <c r="A744" s="7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35">
      <c r="A745" s="7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35">
      <c r="A746" s="7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35">
      <c r="A747" s="7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35">
      <c r="A748" s="7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35">
      <c r="A749" s="7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35">
      <c r="A750" s="7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35">
      <c r="A751" s="7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35">
      <c r="A752" s="7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35">
      <c r="A753" s="7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35">
      <c r="A754" s="7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35">
      <c r="A755" s="7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35">
      <c r="A756" s="7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35">
      <c r="A757" s="7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35">
      <c r="A758" s="7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35">
      <c r="A759" s="7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35">
      <c r="A760" s="7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35">
      <c r="A761" s="7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35">
      <c r="A762" s="7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35">
      <c r="A763" s="7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35">
      <c r="A764" s="7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35">
      <c r="A765" s="7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35">
      <c r="A766" s="7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35">
      <c r="A767" s="7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35">
      <c r="A768" s="7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35">
      <c r="A769" s="7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35">
      <c r="A770" s="7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35">
      <c r="A771" s="7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35">
      <c r="A772" s="7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35">
      <c r="A773" s="7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35">
      <c r="A774" s="7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35">
      <c r="A775" s="7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35">
      <c r="A776" s="7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35">
      <c r="A777" s="7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35">
      <c r="A778" s="7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35">
      <c r="A779" s="7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35">
      <c r="A780" s="7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35">
      <c r="A781" s="7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35">
      <c r="A782" s="7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35">
      <c r="A783" s="7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35">
      <c r="A784" s="7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35">
      <c r="A785" s="7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35">
      <c r="A786" s="7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35">
      <c r="A787" s="7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35">
      <c r="A788" s="7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35">
      <c r="A789" s="7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35">
      <c r="A790" s="7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35">
      <c r="A791" s="7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35">
      <c r="A792" s="7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35">
      <c r="A793" s="7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35">
      <c r="A794" s="7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35">
      <c r="A795" s="7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35">
      <c r="A796" s="7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35">
      <c r="A797" s="7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35">
      <c r="A798" s="7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35">
      <c r="A799" s="7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35">
      <c r="A800" s="7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35">
      <c r="A801" s="7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35">
      <c r="A802" s="7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35">
      <c r="A803" s="7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35">
      <c r="A804" s="7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35">
      <c r="A805" s="7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35">
      <c r="A806" s="7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35">
      <c r="A807" s="7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35">
      <c r="A808" s="7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35">
      <c r="A809" s="7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35">
      <c r="A810" s="7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35">
      <c r="A811" s="7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35">
      <c r="A812" s="7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35">
      <c r="A813" s="7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35">
      <c r="A814" s="7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35">
      <c r="A815" s="7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35">
      <c r="A816" s="7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35">
      <c r="A817" s="7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35">
      <c r="A818" s="7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35">
      <c r="A819" s="7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35">
      <c r="A820" s="7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35">
      <c r="A821" s="7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35">
      <c r="A822" s="7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35">
      <c r="A823" s="7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35">
      <c r="A824" s="7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35">
      <c r="A825" s="7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35">
      <c r="A826" s="7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35">
      <c r="A827" s="7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35">
      <c r="A828" s="7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35">
      <c r="A829" s="7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35">
      <c r="A830" s="7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35">
      <c r="A831" s="7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35">
      <c r="A832" s="7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35">
      <c r="A833" s="7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35">
      <c r="A834" s="7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35">
      <c r="A835" s="7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35">
      <c r="A836" s="7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35">
      <c r="A837" s="7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35">
      <c r="A838" s="7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35">
      <c r="A839" s="7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35">
      <c r="A840" s="7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35">
      <c r="A841" s="7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35">
      <c r="A842" s="7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35">
      <c r="A843" s="7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35">
      <c r="A844" s="7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35">
      <c r="A845" s="7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35">
      <c r="A846" s="7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35">
      <c r="A847" s="7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35">
      <c r="A848" s="7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35">
      <c r="A849" s="7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35">
      <c r="A850" s="7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35">
      <c r="A851" s="7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35">
      <c r="A852" s="7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35">
      <c r="A853" s="7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35">
      <c r="A854" s="7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35">
      <c r="A855" s="7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35">
      <c r="A856" s="7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35">
      <c r="A857" s="7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35">
      <c r="A858" s="7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35">
      <c r="A859" s="7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35">
      <c r="A860" s="7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35">
      <c r="A861" s="7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35">
      <c r="A862" s="7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35">
      <c r="A863" s="7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35">
      <c r="A864" s="7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35">
      <c r="A865" s="7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35">
      <c r="A866" s="7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35">
      <c r="A867" s="7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35">
      <c r="A868" s="7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35">
      <c r="A869" s="7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35">
      <c r="A870" s="7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35">
      <c r="A871" s="7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35">
      <c r="A872" s="7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35">
      <c r="A873" s="7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35">
      <c r="A874" s="7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35">
      <c r="A875" s="7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35">
      <c r="A876" s="7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35">
      <c r="A877" s="7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35">
      <c r="A878" s="7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35">
      <c r="A879" s="7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35">
      <c r="A880" s="7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35">
      <c r="A881" s="7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35">
      <c r="A882" s="7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35">
      <c r="A883" s="7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35">
      <c r="A884" s="7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35">
      <c r="A885" s="7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35">
      <c r="A886" s="7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35">
      <c r="A887" s="7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35">
      <c r="A888" s="7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35">
      <c r="A889" s="7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35">
      <c r="A890" s="7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35">
      <c r="A891" s="7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35">
      <c r="A892" s="7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35">
      <c r="A893" s="7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35">
      <c r="A894" s="7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35">
      <c r="A895" s="7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35">
      <c r="A896" s="7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35">
      <c r="A897" s="7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35">
      <c r="A898" s="7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35">
      <c r="A899" s="7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35">
      <c r="A900" s="7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35">
      <c r="A901" s="7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35">
      <c r="A902" s="7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35">
      <c r="A903" s="7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35">
      <c r="A904" s="7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35">
      <c r="A905" s="7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35">
      <c r="A906" s="7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35">
      <c r="A907" s="7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35">
      <c r="A908" s="7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35">
      <c r="A909" s="7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35">
      <c r="A910" s="7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35">
      <c r="A911" s="7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35">
      <c r="A912" s="7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35">
      <c r="A913" s="7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35">
      <c r="A914" s="7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35">
      <c r="A915" s="7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35">
      <c r="A916" s="7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35">
      <c r="A917" s="7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35">
      <c r="A918" s="7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35">
      <c r="A919" s="7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35">
      <c r="A920" s="7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35">
      <c r="A921" s="7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35">
      <c r="A922" s="7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35">
      <c r="A923" s="7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35">
      <c r="A924" s="7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35">
      <c r="A925" s="7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35">
      <c r="A926" s="7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35">
      <c r="A927" s="7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35">
      <c r="A928" s="7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35">
      <c r="A929" s="7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35">
      <c r="A930" s="7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35">
      <c r="A931" s="7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35">
      <c r="A932" s="7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35">
      <c r="A933" s="7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35">
      <c r="A934" s="7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35">
      <c r="A935" s="7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35">
      <c r="A936" s="7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35">
      <c r="A937" s="7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35">
      <c r="A938" s="7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35">
      <c r="A939" s="7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35">
      <c r="A940" s="7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35">
      <c r="A941" s="7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35">
      <c r="A942" s="7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35">
      <c r="A943" s="7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35">
      <c r="A944" s="7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35">
      <c r="A945" s="7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35">
      <c r="A946" s="7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35">
      <c r="A947" s="7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35">
      <c r="A948" s="7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35">
      <c r="A949" s="7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35">
      <c r="A950" s="7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35">
      <c r="A951" s="7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35">
      <c r="A952" s="7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35">
      <c r="A953" s="7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35">
      <c r="A954" s="7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35">
      <c r="A955" s="7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35">
      <c r="A956" s="7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35">
      <c r="A957" s="7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35">
      <c r="A958" s="7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35">
      <c r="A959" s="7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35">
      <c r="A960" s="7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35">
      <c r="A961" s="7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35">
      <c r="A962" s="7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35">
      <c r="A963" s="7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35">
      <c r="A964" s="7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35">
      <c r="A965" s="7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35">
      <c r="A966" s="7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35">
      <c r="A967" s="7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35">
      <c r="A968" s="7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35">
      <c r="A969" s="7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35">
      <c r="A970" s="7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35">
      <c r="A971" s="7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35">
      <c r="A972" s="7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35">
      <c r="A973" s="7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35">
      <c r="A974" s="7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35">
      <c r="A975" s="7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35">
      <c r="A976" s="7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35">
      <c r="A977" s="7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35">
      <c r="A978" s="7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35">
      <c r="A979" s="7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35">
      <c r="A980" s="7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35">
      <c r="A981" s="7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35">
      <c r="A982" s="7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35">
      <c r="A983" s="7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35">
      <c r="A984" s="7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35">
      <c r="A985" s="7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35">
      <c r="A986" s="7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35">
      <c r="A987" s="7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35">
      <c r="A988" s="7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35">
      <c r="A989" s="7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35">
      <c r="A990" s="7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35">
      <c r="A991" s="7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35">
      <c r="A992" s="7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35">
      <c r="A993" s="7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35">
      <c r="A994" s="7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35">
      <c r="A995" s="7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35">
      <c r="A996" s="7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35">
      <c r="A997" s="7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35">
      <c r="A998" s="7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35">
      <c r="A999" s="7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x14ac:dyDescent="0.35">
      <c r="A1000" s="7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x14ac:dyDescent="0.35">
      <c r="A1001" s="7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x14ac:dyDescent="0.35">
      <c r="A1002" s="7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x14ac:dyDescent="0.35">
      <c r="A1003" s="7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x14ac:dyDescent="0.35">
      <c r="A1004" s="7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x14ac:dyDescent="0.35">
      <c r="A1005" s="7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x14ac:dyDescent="0.35">
      <c r="A1006" s="7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x14ac:dyDescent="0.35">
      <c r="A1007" s="73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x14ac:dyDescent="0.35">
      <c r="A1008" s="73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x14ac:dyDescent="0.35">
      <c r="A1009" s="73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x14ac:dyDescent="0.35">
      <c r="A1010" s="73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</sheetData>
  <mergeCells count="1">
    <mergeCell ref="B1:E1"/>
  </mergeCells>
  <hyperlinks>
    <hyperlink ref="F12" r:id="rId1"/>
    <hyperlink ref="F48" r:id="rId2"/>
    <hyperlink ref="F49" r:id="rId3"/>
    <hyperlink ref="G49" r:id="rId4"/>
    <hyperlink ref="F52" r:id="rId5"/>
    <hyperlink ref="G52" r:id="rId6"/>
    <hyperlink ref="F61" r:id="rId7"/>
    <hyperlink ref="F81" r:id="rId8"/>
    <hyperlink ref="F82" r:id="rId9"/>
    <hyperlink ref="F91" r:id="rId10"/>
    <hyperlink ref="G91" r:id="rId11"/>
    <hyperlink ref="F83" r:id="rId12"/>
    <hyperlink ref="F50" r:id="rId13"/>
    <hyperlink ref="G50" r:id="rId14"/>
    <hyperlink ref="F36" r:id="rId15"/>
  </hyperlink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1002"/>
  <sheetViews>
    <sheetView topLeftCell="A40" zoomScale="85" zoomScaleNormal="85" zoomScalePageLayoutView="85" workbookViewId="0">
      <selection activeCell="A4" sqref="A4"/>
    </sheetView>
  </sheetViews>
  <sheetFormatPr defaultColWidth="15.1796875" defaultRowHeight="14.5" x14ac:dyDescent="0.35"/>
  <cols>
    <col min="1" max="1" width="4.6328125" customWidth="1"/>
    <col min="2" max="2" width="57.1796875" customWidth="1"/>
    <col min="3" max="3" width="25.6328125" customWidth="1"/>
    <col min="4" max="4" width="33.453125" customWidth="1"/>
    <col min="5" max="5" width="30.453125" customWidth="1"/>
    <col min="6" max="6" width="39.81640625" customWidth="1"/>
    <col min="7" max="7" width="19.453125" customWidth="1"/>
    <col min="8" max="17" width="6.6328125" customWidth="1"/>
    <col min="18" max="26" width="13.1796875" customWidth="1"/>
  </cols>
  <sheetData>
    <row r="1" spans="1:26" ht="17.5" x14ac:dyDescent="0.35">
      <c r="A1" s="16"/>
      <c r="B1" s="84" t="s">
        <v>665</v>
      </c>
      <c r="C1" s="85"/>
      <c r="D1" s="3"/>
      <c r="E1" s="16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5" x14ac:dyDescent="0.35">
      <c r="A2" s="16"/>
      <c r="B2" s="3"/>
      <c r="C2" s="16"/>
      <c r="D2" s="3"/>
      <c r="E2" s="1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35">
      <c r="A3" s="6"/>
      <c r="B3" s="100" t="s">
        <v>0</v>
      </c>
      <c r="C3" s="100" t="s">
        <v>708</v>
      </c>
      <c r="D3" s="100" t="s">
        <v>1</v>
      </c>
      <c r="E3" s="100" t="s">
        <v>2</v>
      </c>
      <c r="F3" s="101" t="s">
        <v>707</v>
      </c>
      <c r="G3" s="101" t="s">
        <v>689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56.5" x14ac:dyDescent="0.35">
      <c r="A4" s="19">
        <v>1</v>
      </c>
      <c r="B4" s="19" t="s">
        <v>1252</v>
      </c>
      <c r="C4" s="19" t="s">
        <v>668</v>
      </c>
      <c r="D4" s="19" t="s">
        <v>7</v>
      </c>
      <c r="E4" s="19" t="s">
        <v>8</v>
      </c>
      <c r="F4" s="20" t="str">
        <f>HYPERLINK("http://www.amursma.ru/vakansii/","http://www.amursma.ru/vakansii/")</f>
        <v>http://www.amursma.ru/vakansii/</v>
      </c>
      <c r="G4" s="2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8.5" x14ac:dyDescent="0.35">
      <c r="A5" s="19">
        <v>2</v>
      </c>
      <c r="B5" s="19" t="s">
        <v>1253</v>
      </c>
      <c r="C5" s="19" t="s">
        <v>734</v>
      </c>
      <c r="D5" s="19" t="s">
        <v>1254</v>
      </c>
      <c r="E5" s="19" t="s">
        <v>8</v>
      </c>
      <c r="F5" s="20" t="str">
        <f>HYPERLINK("https://www.vostbank.ru/")</f>
        <v>https://www.vostbank.ru/</v>
      </c>
      <c r="G5" s="23" t="s">
        <v>1255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42.5" x14ac:dyDescent="0.35">
      <c r="A6" s="19">
        <v>3</v>
      </c>
      <c r="B6" s="19" t="s">
        <v>318</v>
      </c>
      <c r="C6" s="19" t="s">
        <v>692</v>
      </c>
      <c r="D6" s="19" t="s">
        <v>319</v>
      </c>
      <c r="E6" s="19" t="s">
        <v>320</v>
      </c>
      <c r="F6" s="20" t="str">
        <f>HYPERLINK("http://икарп.рф/informachiy/kontakti/","http://xn--80apgve.xn--p1ai/informachiy/kontakti/")</f>
        <v>http://xn--80apgve.xn--p1ai/informachiy/kontakti/</v>
      </c>
      <c r="G6" s="2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42.5" x14ac:dyDescent="0.35">
      <c r="A7" s="19">
        <v>4</v>
      </c>
      <c r="B7" s="19" t="s">
        <v>364</v>
      </c>
      <c r="C7" s="19" t="s">
        <v>692</v>
      </c>
      <c r="D7" s="19" t="s">
        <v>365</v>
      </c>
      <c r="E7" s="19" t="s">
        <v>211</v>
      </c>
      <c r="F7" s="20" t="str">
        <f>HYPERLINK("http://nigtc.kscnet.ru/0100struct.html","http://nigtc.kscnet.ru/0100struct.html")</f>
        <v>http://nigtc.kscnet.ru/0100struct.html</v>
      </c>
      <c r="G7" s="25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42.5" x14ac:dyDescent="0.35">
      <c r="A8" s="19">
        <v>5</v>
      </c>
      <c r="B8" s="19" t="s">
        <v>427</v>
      </c>
      <c r="C8" s="19" t="s">
        <v>692</v>
      </c>
      <c r="D8" s="19" t="s">
        <v>308</v>
      </c>
      <c r="E8" s="19" t="s">
        <v>197</v>
      </c>
      <c r="F8" s="20" t="str">
        <f>HYPERLINK("http://neisri.ru/index.php/ru/","http://neisri.ru/index.php/ru/")</f>
        <v>http://neisri.ru/index.php/ru/</v>
      </c>
      <c r="G8" s="25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42.5" x14ac:dyDescent="0.35">
      <c r="A9" s="19">
        <v>6</v>
      </c>
      <c r="B9" s="19" t="s">
        <v>428</v>
      </c>
      <c r="C9" s="19" t="s">
        <v>692</v>
      </c>
      <c r="D9" s="19" t="s">
        <v>309</v>
      </c>
      <c r="E9" s="19" t="s">
        <v>197</v>
      </c>
      <c r="F9" s="20" t="str">
        <f>HYPERLINK("http://magniish.ru/contact","http://magniish.ru/contact")</f>
        <v>http://magniish.ru/contact</v>
      </c>
      <c r="G9" s="25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8.5" x14ac:dyDescent="0.35">
      <c r="A10" s="19">
        <v>7</v>
      </c>
      <c r="B10" s="19" t="s">
        <v>1263</v>
      </c>
      <c r="C10" s="19" t="s">
        <v>690</v>
      </c>
      <c r="D10" s="19" t="s">
        <v>1264</v>
      </c>
      <c r="E10" s="19" t="s">
        <v>197</v>
      </c>
      <c r="F10" s="20" t="str">
        <f>HYPERLINK("http://www.magadanenergo.ru/","http://www.magadanenergo.ru/")</f>
        <v>http://www.magadanenergo.ru/</v>
      </c>
      <c r="G10" s="20" t="str">
        <f>HYPERLINK("https://magadan.hh.ru/employer/2361417","https://magadan.hh.ru/employer/2361417")</f>
        <v>https://magadan.hh.ru/employer/2361417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56.5" x14ac:dyDescent="0.35">
      <c r="A11" s="19">
        <v>8</v>
      </c>
      <c r="B11" s="19" t="s">
        <v>1268</v>
      </c>
      <c r="C11" s="19" t="s">
        <v>668</v>
      </c>
      <c r="D11" s="19" t="s">
        <v>299</v>
      </c>
      <c r="E11" s="19" t="s">
        <v>116</v>
      </c>
      <c r="F11" s="20" t="str">
        <f>HYPERLINK("http://тгму.рф/pages/5557b09c74676d3ddede1700","http://xn--c1asqg.xn--p1ai/pages/5557b09c74676d3ddede1700")</f>
        <v>http://xn--c1asqg.xn--p1ai/pages/5557b09c74676d3ddede1700</v>
      </c>
      <c r="G11" s="2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42.5" x14ac:dyDescent="0.35">
      <c r="A12" s="19">
        <v>9</v>
      </c>
      <c r="B12" s="19" t="s">
        <v>520</v>
      </c>
      <c r="C12" s="19" t="s">
        <v>692</v>
      </c>
      <c r="D12" s="19" t="s">
        <v>303</v>
      </c>
      <c r="E12" s="19" t="s">
        <v>116</v>
      </c>
      <c r="F12" s="20" t="str">
        <f>HYPERLINK("http://www.biosoil.ru/contacts.aspx","http://www.biosoil.ru/contacts.aspx")</f>
        <v>http://www.biosoil.ru/contacts.aspx</v>
      </c>
      <c r="G12" s="25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42.5" x14ac:dyDescent="0.35">
      <c r="A13" s="19">
        <v>10</v>
      </c>
      <c r="B13" s="19" t="s">
        <v>521</v>
      </c>
      <c r="C13" s="19" t="s">
        <v>692</v>
      </c>
      <c r="D13" s="19" t="s">
        <v>301</v>
      </c>
      <c r="E13" s="19" t="s">
        <v>116</v>
      </c>
      <c r="F13" s="20" t="str">
        <f>HYPERLINK("http://www.iacp.dvo.ru/about/official-contacts","http://www.iacp.dvo.ru/about/official-contacts")</f>
        <v>http://www.iacp.dvo.ru/about/official-contacts</v>
      </c>
      <c r="G13" s="25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8.5" x14ac:dyDescent="0.35">
      <c r="A14" s="19">
        <v>11</v>
      </c>
      <c r="B14" s="19" t="s">
        <v>522</v>
      </c>
      <c r="C14" s="19" t="s">
        <v>690</v>
      </c>
      <c r="D14" s="19" t="s">
        <v>300</v>
      </c>
      <c r="E14" s="19" t="s">
        <v>116</v>
      </c>
      <c r="F14" s="20" t="str">
        <f>HYPERLINK("http://primorsklesprom.ru/vakansii","http://primorsklesprom.ru/vakansii")</f>
        <v>http://primorsklesprom.ru/vakansii</v>
      </c>
      <c r="G14" s="25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8.5" x14ac:dyDescent="0.35">
      <c r="A15" s="19">
        <v>12</v>
      </c>
      <c r="B15" s="19" t="s">
        <v>523</v>
      </c>
      <c r="C15" s="19" t="s">
        <v>692</v>
      </c>
      <c r="D15" s="19" t="s">
        <v>302</v>
      </c>
      <c r="E15" s="19" t="s">
        <v>116</v>
      </c>
      <c r="F15" s="20" t="str">
        <f>HYPERLINK("http://www.febras.ru/component/content/category/45-kadry-konkursy-vakansii.html","http://www.febras.ru/component/content/category/45-kadry-konkursy-vakansii.html")</f>
        <v>http://www.febras.ru/component/content/category/45-kadry-konkursy-vakansii.html</v>
      </c>
      <c r="G15" s="25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2.5" x14ac:dyDescent="0.35">
      <c r="A16" s="19">
        <v>13</v>
      </c>
      <c r="B16" s="19" t="s">
        <v>1279</v>
      </c>
      <c r="C16" s="19" t="s">
        <v>668</v>
      </c>
      <c r="D16" s="19" t="s">
        <v>1280</v>
      </c>
      <c r="E16" s="19" t="s">
        <v>116</v>
      </c>
      <c r="F16" s="20" t="str">
        <f>HYPERLINK("https://www.dvfu.ru/job/","https://www.dvfu.ru/job/")</f>
        <v>https://www.dvfu.ru/job/</v>
      </c>
      <c r="G16" s="20" t="str">
        <f>HYPERLINK("https://hh.ru/employer/774791","https://hh.ru/employer/774791")</f>
        <v>https://hh.ru/employer/774791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2.5" x14ac:dyDescent="0.35">
      <c r="A17" s="19">
        <v>14</v>
      </c>
      <c r="B17" s="19" t="s">
        <v>1282</v>
      </c>
      <c r="C17" s="19" t="s">
        <v>690</v>
      </c>
      <c r="D17" s="19" t="s">
        <v>1283</v>
      </c>
      <c r="E17" s="19" t="s">
        <v>116</v>
      </c>
      <c r="F17" s="20" t="str">
        <f>HYPERLINK("http://dcss.ru/jobs.html","http://dcss.ru/jobs.html")</f>
        <v>http://dcss.ru/jobs.html</v>
      </c>
      <c r="G17" s="25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8.5" x14ac:dyDescent="0.35">
      <c r="A18" s="19">
        <v>15</v>
      </c>
      <c r="B18" s="19" t="s">
        <v>1285</v>
      </c>
      <c r="C18" s="19" t="s">
        <v>734</v>
      </c>
      <c r="D18" s="19" t="s">
        <v>1286</v>
      </c>
      <c r="E18" s="19" t="s">
        <v>116</v>
      </c>
      <c r="F18" s="87"/>
      <c r="G18" s="2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2.5" x14ac:dyDescent="0.35">
      <c r="A19" s="19">
        <v>16</v>
      </c>
      <c r="B19" s="19" t="s">
        <v>1287</v>
      </c>
      <c r="C19" s="19" t="s">
        <v>690</v>
      </c>
      <c r="D19" s="19" t="s">
        <v>1288</v>
      </c>
      <c r="E19" s="19" t="s">
        <v>116</v>
      </c>
      <c r="F19" s="20" t="str">
        <f>HYPERLINK("http://www.russianhelicopters.aero/ru/about/career/vacancy/","http://www.russianhelicopters.aero/ru/about/career/vacancy/")</f>
        <v>http://www.russianhelicopters.aero/ru/about/career/vacancy/</v>
      </c>
      <c r="G19" s="2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56.5" x14ac:dyDescent="0.35">
      <c r="A20" s="19">
        <v>17</v>
      </c>
      <c r="B20" s="19" t="s">
        <v>1290</v>
      </c>
      <c r="C20" s="19" t="s">
        <v>668</v>
      </c>
      <c r="D20" s="19" t="s">
        <v>1291</v>
      </c>
      <c r="E20" s="19" t="s">
        <v>116</v>
      </c>
      <c r="F20" s="20" t="str">
        <f>HYPERLINK("http://www.primacad.ru/index.php?option=com_content&amp;view=article&amp;id=217:vakansii&amp;catid=152:vypusknikam&amp;Itemid=517","http://www.primacad.ru/index.php?option=com_content&amp;view=article&amp;id=217:vakansii&amp;catid=152:vypusknikam&amp;Itemid=517")</f>
        <v>http://www.primacad.ru/index.php?option=com_content&amp;view=article&amp;id=217:vakansii&amp;catid=152:vypusknikam&amp;Itemid=517</v>
      </c>
      <c r="G20" s="25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2.5" x14ac:dyDescent="0.35">
      <c r="A21" s="19">
        <v>18</v>
      </c>
      <c r="B21" s="19" t="s">
        <v>1292</v>
      </c>
      <c r="C21" s="19" t="s">
        <v>690</v>
      </c>
      <c r="D21" s="19" t="s">
        <v>1293</v>
      </c>
      <c r="E21" s="19" t="s">
        <v>116</v>
      </c>
      <c r="F21" s="20" t="str">
        <f>HYPERLINK("http://www.fes-zvezda.ru/contacts/","http://www.fes-zvezda.ru/contacts/")</f>
        <v>http://www.fes-zvezda.ru/contacts/</v>
      </c>
      <c r="G21" s="25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56.5" x14ac:dyDescent="0.35">
      <c r="A22" s="19">
        <v>19</v>
      </c>
      <c r="B22" s="19" t="s">
        <v>524</v>
      </c>
      <c r="C22" s="19" t="s">
        <v>692</v>
      </c>
      <c r="D22" s="19" t="s">
        <v>313</v>
      </c>
      <c r="E22" s="19" t="s">
        <v>213</v>
      </c>
      <c r="F22" s="42" t="str">
        <f>HYPERLINK("http://www.skbsami.ru/","http://www.skbsami.ru/")</f>
        <v>http://www.skbsami.ru/</v>
      </c>
      <c r="G22" s="25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70.5" x14ac:dyDescent="0.35">
      <c r="A23" s="19">
        <v>20</v>
      </c>
      <c r="B23" s="19" t="s">
        <v>1297</v>
      </c>
      <c r="C23" s="19" t="s">
        <v>1298</v>
      </c>
      <c r="D23" s="19" t="s">
        <v>1299</v>
      </c>
      <c r="E23" s="19" t="s">
        <v>213</v>
      </c>
      <c r="F23" s="20" t="str">
        <f>HYPERLINK("http://сахгу.рф/%D1%82%D1%80%D1%83%D0%B4%D0%BE%D1%83%D1%81%D1%82%D1%80%D0%BE%D0%B9%D1%81%D1%82%D0%B2%D0%BE/","http://xn--80ag4bki.xn--p1ai/%D1%82%D1%80%D1%83%D0%B4%D0%BE%D1%83%D1%81%D1%82%D1%80%D0%BE%D0%B9%D1%81%D1%82%D0%B2%D0%BE/")</f>
        <v>http://xn--80ag4bki.xn--p1ai/%D1%82%D1%80%D1%83%D0%B4%D0%BE%D1%83%D1%81%D1%82%D1%80%D0%BE%D0%B9%D1%81%D1%82%D0%B2%D0%BE/</v>
      </c>
      <c r="G23" s="25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8.5" x14ac:dyDescent="0.35">
      <c r="A24" s="19">
        <v>21</v>
      </c>
      <c r="B24" s="19" t="s">
        <v>1300</v>
      </c>
      <c r="C24" s="19" t="s">
        <v>734</v>
      </c>
      <c r="D24" s="19" t="s">
        <v>1301</v>
      </c>
      <c r="E24" s="19" t="s">
        <v>213</v>
      </c>
      <c r="F24" s="59" t="str">
        <f>HYPERLINK("http://ski-gv.ru/","http://ski-gv.ru/")</f>
        <v>http://ski-gv.ru/</v>
      </c>
      <c r="G24" s="20" t="str">
        <f>HYPERLINK("https://hh.ru/employer/1483628","https://hh.ru/employer/1483628")</f>
        <v>https://hh.ru/employer/1483628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70.5" x14ac:dyDescent="0.35">
      <c r="A25" s="19">
        <v>22</v>
      </c>
      <c r="B25" s="19" t="s">
        <v>1306</v>
      </c>
      <c r="C25" s="19" t="s">
        <v>668</v>
      </c>
      <c r="D25" s="19" t="s">
        <v>1307</v>
      </c>
      <c r="E25" s="19" t="s">
        <v>558</v>
      </c>
      <c r="F25" s="20" t="str">
        <f>HYPERLINK("http://www.s-vfu.ru/universitet/vakansii/","http://www.s-vfu.ru/universitet/vakansii/")</f>
        <v>http://www.s-vfu.ru/universitet/vakansii/</v>
      </c>
      <c r="G25" s="25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42.5" x14ac:dyDescent="0.35">
      <c r="A26" s="19">
        <v>23</v>
      </c>
      <c r="B26" s="19" t="s">
        <v>1309</v>
      </c>
      <c r="C26" s="19" t="s">
        <v>668</v>
      </c>
      <c r="D26" s="19" t="s">
        <v>559</v>
      </c>
      <c r="E26" s="19" t="s">
        <v>558</v>
      </c>
      <c r="F26" s="42" t="str">
        <f>HYPERLINK("http://agronii.ysn.ru/","http://agronii.ysn.ru/")</f>
        <v>http://agronii.ysn.ru/</v>
      </c>
      <c r="G26" s="25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0.5" x14ac:dyDescent="0.35">
      <c r="A27" s="19">
        <v>24</v>
      </c>
      <c r="B27" s="19" t="s">
        <v>561</v>
      </c>
      <c r="C27" s="19" t="s">
        <v>692</v>
      </c>
      <c r="D27" s="19" t="s">
        <v>562</v>
      </c>
      <c r="E27" s="19" t="s">
        <v>558</v>
      </c>
      <c r="F27" s="20" t="str">
        <f>HYPERLINK("http://www.ikfia.ysn.ru/%D0%BA%D0%BE%D0%BD%D0%BA%D1%83%D1%80%D1%81-%D0%BD%D0%B0-%D0%B2%D0%B0%D0%BA%D0%B0%D0%BD%D1%81%D0%B8%D0%B8-%D0%BD%D0%B0%D1%83%D1%87%D0%BD%D1%8B%D1%85-%D1%80%D0%B0%D0%B1%D0%BE%D1%82%D0%BD%D0%B8%D0%BA%D0%BE%D0%B2.html","http://www.ikfia.ysn.ru/%D0%BA%D0%BE%D0%BD%D0%BA%D1%83%D1%80%D1%81-%D0%BD%D0%B0-%D0%B2%D0%B0%D0%BA%D0%B0%D0%BD%D1%81%D0%B8%D0%B8-%D0%BD%D0%B0%D1%83%D1%87%D0%BD%D1%8B%D1%85-%D1%80%D0%B0%D0%B1%D0%BE%D1%82%D0%BD%D0%B8%D0%BA%D0%BE%D0%B2.html")</f>
        <v>http://www.ikfia.ysn.ru/%D0%BA%D0%BE%D0%BD%D0%BA%D1%83%D1%80%D1%81-%D0%BD%D0%B0-%D0%B2%D0%B0%D0%BA%D0%B0%D0%BD%D1%81%D0%B8%D0%B8-%D0%BD%D0%B0%D1%83%D1%87%D0%BD%D1%8B%D1%85-%D1%80%D0%B0%D0%B1%D0%BE%D1%82%D0%BD%D0%B8%D0%BA%D0%BE%D0%B2.html</v>
      </c>
      <c r="G27" s="25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42.5" x14ac:dyDescent="0.35">
      <c r="A28" s="19">
        <v>25</v>
      </c>
      <c r="B28" s="19" t="s">
        <v>564</v>
      </c>
      <c r="C28" s="19" t="s">
        <v>692</v>
      </c>
      <c r="D28" s="19" t="s">
        <v>563</v>
      </c>
      <c r="E28" s="19" t="s">
        <v>558</v>
      </c>
      <c r="F28" s="20" t="str">
        <f>HYPERLINK("http://mpi.ysn.ru/ru/home/%D0%B2%D0%B0%D0%BA%D0%B0%D0%BD%D1%81%D0%B8%D0%B8","http://mpi.ysn.ru/ru/home/%D0%B2%D0%B0%D0%BA%D0%B0%D0%BD%D1%81%D0%B8%D0%B8")</f>
        <v>http://mpi.ysn.ru/ru/home/%D0%B2%D0%B0%D0%BA%D0%B0%D0%BD%D1%81%D0%B8%D0%B8</v>
      </c>
      <c r="G28" s="25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42.5" x14ac:dyDescent="0.35">
      <c r="A29" s="19">
        <v>26</v>
      </c>
      <c r="B29" s="19" t="s">
        <v>566</v>
      </c>
      <c r="C29" s="19" t="s">
        <v>690</v>
      </c>
      <c r="D29" s="19" t="s">
        <v>560</v>
      </c>
      <c r="E29" s="19" t="s">
        <v>558</v>
      </c>
      <c r="F29" s="20" t="str">
        <f>HYPERLINK("http://www.alrosa.ru/%D0%BA%D0%BE%D0%BD%D1%82%D0%B0%D0%BA%D1%82%D1%8B/","http://www.alrosa.ru/%D0%BA%D0%BE%D0%BD%D1%82%D0%B0%D0%BA%D1%82%D1%8B/")</f>
        <v>http://www.alrosa.ru/%D0%BA%D0%BE%D0%BD%D1%82%D0%B0%D0%BA%D1%82%D1%8B/</v>
      </c>
      <c r="G29" s="25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8.5" x14ac:dyDescent="0.35">
      <c r="A30" s="19">
        <v>27</v>
      </c>
      <c r="B30" s="19" t="s">
        <v>567</v>
      </c>
      <c r="C30" s="19" t="s">
        <v>690</v>
      </c>
      <c r="D30" s="19" t="s">
        <v>565</v>
      </c>
      <c r="E30" s="19" t="s">
        <v>558</v>
      </c>
      <c r="F30" s="20" t="str">
        <f>HYPERLINK("http://www.yakutugol.ru/start.php-sub=1&amp;page=contacts.htm","http://www.yakutugol.ru/start.php-sub=1&amp;page=contacts.htm")</f>
        <v>http://www.yakutugol.ru/start.php-sub=1&amp;page=contacts.htm</v>
      </c>
      <c r="G30" s="25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42.5" x14ac:dyDescent="0.35">
      <c r="A31" s="19">
        <v>28</v>
      </c>
      <c r="B31" s="19" t="s">
        <v>1322</v>
      </c>
      <c r="C31" s="19" t="s">
        <v>668</v>
      </c>
      <c r="D31" s="19" t="s">
        <v>1326</v>
      </c>
      <c r="E31" s="19" t="s">
        <v>558</v>
      </c>
      <c r="F31" s="90" t="s">
        <v>1328</v>
      </c>
      <c r="G31" s="55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56.5" x14ac:dyDescent="0.35">
      <c r="A32" s="19">
        <v>29</v>
      </c>
      <c r="B32" s="19" t="s">
        <v>1336</v>
      </c>
      <c r="C32" s="19" t="s">
        <v>668</v>
      </c>
      <c r="D32" s="19" t="s">
        <v>1337</v>
      </c>
      <c r="E32" s="19" t="s">
        <v>147</v>
      </c>
      <c r="F32" s="20" t="str">
        <f>HYPERLINK("http://www.fesmu.ru/?redirect=pages&amp;main_action=671","http://www.fesmu.ru/?redirect=pages&amp;main_action=671")</f>
        <v>http://www.fesmu.ru/?redirect=pages&amp;main_action=671</v>
      </c>
      <c r="G32" s="25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42.5" x14ac:dyDescent="0.35">
      <c r="A33" s="19">
        <v>30</v>
      </c>
      <c r="B33" s="19" t="s">
        <v>642</v>
      </c>
      <c r="C33" s="19" t="s">
        <v>692</v>
      </c>
      <c r="D33" s="19" t="s">
        <v>305</v>
      </c>
      <c r="E33" s="19" t="s">
        <v>147</v>
      </c>
      <c r="F33" s="20" t="str">
        <f>HYPERLINK("http://ivep.as.khb.ru/1_Institut/content7.html","http://ivep.as.khb.ru/1_Institut/content7.html")</f>
        <v>http://ivep.as.khb.ru/1_Institut/content7.html</v>
      </c>
      <c r="G33" s="25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42.5" x14ac:dyDescent="0.35">
      <c r="A34" s="19">
        <v>31</v>
      </c>
      <c r="B34" s="19" t="s">
        <v>1342</v>
      </c>
      <c r="C34" s="19" t="s">
        <v>690</v>
      </c>
      <c r="D34" s="19" t="s">
        <v>1343</v>
      </c>
      <c r="E34" s="19" t="s">
        <v>147</v>
      </c>
      <c r="F34" s="25" t="s">
        <v>1344</v>
      </c>
      <c r="G34" s="25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42.5" x14ac:dyDescent="0.35">
      <c r="A35" s="19">
        <v>32</v>
      </c>
      <c r="B35" s="19" t="s">
        <v>1345</v>
      </c>
      <c r="C35" s="19" t="s">
        <v>690</v>
      </c>
      <c r="D35" s="19" t="s">
        <v>1346</v>
      </c>
      <c r="E35" s="19" t="s">
        <v>147</v>
      </c>
      <c r="F35" s="20" t="str">
        <f>HYPERLINK("http://www.knaapo.ru/personnel/vacancies/index.php?sphrase_id=5453","http://www.knaapo.ru/personnel/vacancies/index.php?sphrase_id=5453")</f>
        <v>http://www.knaapo.ru/personnel/vacancies/index.php?sphrase_id=5453</v>
      </c>
      <c r="G35" s="25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8.5" x14ac:dyDescent="0.35">
      <c r="A36" s="19">
        <v>33</v>
      </c>
      <c r="B36" s="19" t="s">
        <v>1347</v>
      </c>
      <c r="C36" s="19" t="s">
        <v>690</v>
      </c>
      <c r="D36" s="19" t="s">
        <v>1348</v>
      </c>
      <c r="E36" s="19" t="s">
        <v>147</v>
      </c>
      <c r="F36" s="20" t="str">
        <f>HYPERLINK("http://khabkrai-invest.ru/ru/kontakty","http://khabkrai-invest.ru/ru/kontakty")</f>
        <v>http://khabkrai-invest.ru/ru/kontakty</v>
      </c>
      <c r="G36" s="2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42.5" x14ac:dyDescent="0.35">
      <c r="A37" s="19">
        <v>34</v>
      </c>
      <c r="B37" s="19" t="s">
        <v>1350</v>
      </c>
      <c r="C37" s="19" t="s">
        <v>668</v>
      </c>
      <c r="D37" s="19" t="s">
        <v>1352</v>
      </c>
      <c r="E37" s="19" t="s">
        <v>147</v>
      </c>
      <c r="F37" s="20" t="str">
        <f>HYPERLINK("http://pnu.edu.ru/ru/recruitment/graduates/baza-vakansij/","http://pnu.edu.ru/ru/recruitment/graduates/baza-vakansij/")</f>
        <v>http://pnu.edu.ru/ru/recruitment/graduates/baza-vakansij/</v>
      </c>
      <c r="G37" s="2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56.5" x14ac:dyDescent="0.35">
      <c r="A38" s="19">
        <v>35</v>
      </c>
      <c r="B38" s="19" t="s">
        <v>1353</v>
      </c>
      <c r="C38" s="19" t="s">
        <v>668</v>
      </c>
      <c r="D38" s="19" t="s">
        <v>1354</v>
      </c>
      <c r="E38" s="19" t="s">
        <v>147</v>
      </c>
      <c r="F38" s="20" t="str">
        <f>HYPERLINK("https://knastu.ru/page/450","https://knastu.ru/page/450")</f>
        <v>https://knastu.ru/page/450</v>
      </c>
      <c r="G38" s="25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56.5" x14ac:dyDescent="0.35">
      <c r="A39" s="19">
        <v>36</v>
      </c>
      <c r="B39" s="19" t="s">
        <v>1358</v>
      </c>
      <c r="C39" s="19" t="s">
        <v>668</v>
      </c>
      <c r="D39" s="19" t="s">
        <v>1359</v>
      </c>
      <c r="E39" s="19" t="s">
        <v>147</v>
      </c>
      <c r="F39" s="20" t="str">
        <f>HYPERLINK("http://www.ael.ru/about/vakansii/","http://www.ael.ru/about/vakansii/")</f>
        <v>http://www.ael.ru/about/vakansii/</v>
      </c>
      <c r="G39" s="25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8.5" x14ac:dyDescent="0.35">
      <c r="A40" s="19">
        <v>37</v>
      </c>
      <c r="B40" s="19" t="s">
        <v>1362</v>
      </c>
      <c r="C40" s="19" t="s">
        <v>690</v>
      </c>
      <c r="D40" s="19" t="s">
        <v>1363</v>
      </c>
      <c r="E40" s="19" t="s">
        <v>147</v>
      </c>
      <c r="F40" s="20" t="str">
        <f>HYPERLINK("http://gazdv.ru/vakansii/","http://gazdv.ru/vakansii/")</f>
        <v>http://gazdv.ru/vakansii/</v>
      </c>
      <c r="G40" s="25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42.5" x14ac:dyDescent="0.35">
      <c r="A41" s="19">
        <v>38</v>
      </c>
      <c r="B41" s="19" t="s">
        <v>1368</v>
      </c>
      <c r="C41" s="19" t="s">
        <v>692</v>
      </c>
      <c r="D41" s="19" t="s">
        <v>1371</v>
      </c>
      <c r="E41" s="19" t="s">
        <v>147</v>
      </c>
      <c r="F41" s="53" t="str">
        <f>HYPERLINK("http://www.ferim.ru/overview","http://www.ferim.ru/overview")</f>
        <v>http://www.ferim.ru/overview</v>
      </c>
      <c r="G41" s="7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42.5" x14ac:dyDescent="0.35">
      <c r="A42" s="19">
        <v>39</v>
      </c>
      <c r="B42" s="19" t="s">
        <v>1375</v>
      </c>
      <c r="C42" s="19" t="s">
        <v>692</v>
      </c>
      <c r="D42" s="19" t="s">
        <v>1376</v>
      </c>
      <c r="E42" s="19" t="s">
        <v>147</v>
      </c>
      <c r="F42" s="53" t="str">
        <f>HYPERLINK("http://www.igd.khv.ru/","http://www.igd.khv.ru/")</f>
        <v>http://www.igd.khv.ru/</v>
      </c>
      <c r="G42" s="60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35">
      <c r="A43" s="70"/>
      <c r="B43" s="1"/>
      <c r="C43" s="70"/>
      <c r="D43" s="1"/>
      <c r="E43" s="70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35">
      <c r="A44" s="7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35">
      <c r="A45" s="7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35">
      <c r="A46" s="7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35">
      <c r="A47" s="7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35">
      <c r="A48" s="7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35">
      <c r="A49" s="7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35">
      <c r="A50" s="7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35">
      <c r="A51" s="7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35">
      <c r="A52" s="7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35">
      <c r="A53" s="7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35">
      <c r="A54" s="7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35">
      <c r="A55" s="7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35">
      <c r="A56" s="7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35">
      <c r="A57" s="7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35">
      <c r="A58" s="7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35">
      <c r="A59" s="7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35">
      <c r="A60" s="7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35">
      <c r="A61" s="7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35">
      <c r="A62" s="7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35">
      <c r="A63" s="7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35">
      <c r="A64" s="7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35">
      <c r="A65" s="7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35">
      <c r="A66" s="7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35">
      <c r="A67" s="7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35">
      <c r="A68" s="7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35">
      <c r="A69" s="7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35">
      <c r="A70" s="7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35">
      <c r="A71" s="7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35">
      <c r="A72" s="7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35">
      <c r="A73" s="7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35">
      <c r="A74" s="7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35">
      <c r="A75" s="7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35">
      <c r="A76" s="7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35">
      <c r="A77" s="7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35">
      <c r="A78" s="7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35">
      <c r="A79" s="7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35">
      <c r="A80" s="7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35">
      <c r="A81" s="7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35">
      <c r="A82" s="7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35">
      <c r="A83" s="7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35">
      <c r="A84" s="7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35">
      <c r="A85" s="7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35">
      <c r="A86" s="7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35">
      <c r="A87" s="7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35">
      <c r="A88" s="7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35">
      <c r="A89" s="7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35">
      <c r="A90" s="7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35">
      <c r="A91" s="7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35">
      <c r="A92" s="7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35">
      <c r="A93" s="7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35">
      <c r="A94" s="7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35">
      <c r="A95" s="7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35">
      <c r="A96" s="7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35">
      <c r="A97" s="7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35">
      <c r="A98" s="7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35">
      <c r="A99" s="7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35">
      <c r="A100" s="7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35">
      <c r="A101" s="7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35">
      <c r="A102" s="7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35">
      <c r="A103" s="7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35">
      <c r="A104" s="7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35">
      <c r="A105" s="7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35">
      <c r="A106" s="7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35">
      <c r="A107" s="7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35">
      <c r="A108" s="7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35">
      <c r="A109" s="7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35">
      <c r="A110" s="7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35">
      <c r="A111" s="7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35">
      <c r="A112" s="7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35">
      <c r="A113" s="7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35">
      <c r="A114" s="7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35">
      <c r="A115" s="7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35">
      <c r="A116" s="7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35">
      <c r="A117" s="7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35">
      <c r="A118" s="7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35">
      <c r="A119" s="7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35">
      <c r="A120" s="7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35">
      <c r="A121" s="7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35">
      <c r="A122" s="7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35">
      <c r="A123" s="7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35">
      <c r="A124" s="7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35">
      <c r="A125" s="7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35">
      <c r="A126" s="7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35">
      <c r="A127" s="7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35">
      <c r="A128" s="7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35">
      <c r="A129" s="7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35">
      <c r="A130" s="7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35">
      <c r="A131" s="7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35">
      <c r="A132" s="7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35">
      <c r="A133" s="7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35">
      <c r="A134" s="7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35">
      <c r="A135" s="7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35">
      <c r="A136" s="7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35">
      <c r="A137" s="7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35">
      <c r="A138" s="7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35">
      <c r="A139" s="7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35">
      <c r="A140" s="7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35">
      <c r="A141" s="7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35">
      <c r="A142" s="7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35">
      <c r="A143" s="7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35">
      <c r="A144" s="7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35">
      <c r="A145" s="7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35">
      <c r="A146" s="7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35">
      <c r="A147" s="7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35">
      <c r="A148" s="7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35">
      <c r="A149" s="7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35">
      <c r="A150" s="7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35">
      <c r="A151" s="7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35">
      <c r="A152" s="7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35">
      <c r="A153" s="7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35">
      <c r="A154" s="7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35">
      <c r="A155" s="7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35">
      <c r="A156" s="7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35">
      <c r="A157" s="7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35">
      <c r="A158" s="7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35">
      <c r="A159" s="7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35">
      <c r="A160" s="7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35">
      <c r="A161" s="7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35">
      <c r="A162" s="7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35">
      <c r="A163" s="7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35">
      <c r="A164" s="7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35">
      <c r="A165" s="7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35">
      <c r="A166" s="7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35">
      <c r="A167" s="7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35">
      <c r="A168" s="7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35">
      <c r="A169" s="7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35">
      <c r="A170" s="7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35">
      <c r="A171" s="7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35">
      <c r="A172" s="7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35">
      <c r="A173" s="7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35">
      <c r="A174" s="7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35">
      <c r="A175" s="7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35">
      <c r="A176" s="7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35">
      <c r="A177" s="7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35">
      <c r="A178" s="7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35">
      <c r="A179" s="7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35">
      <c r="A180" s="7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35">
      <c r="A181" s="7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35">
      <c r="A182" s="7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35">
      <c r="A183" s="7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35">
      <c r="A184" s="7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35">
      <c r="A185" s="7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35">
      <c r="A186" s="7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35">
      <c r="A187" s="7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35">
      <c r="A188" s="7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35">
      <c r="A189" s="7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35">
      <c r="A190" s="7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35">
      <c r="A191" s="7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35">
      <c r="A192" s="7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35">
      <c r="A193" s="7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35">
      <c r="A194" s="7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35">
      <c r="A195" s="7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35">
      <c r="A196" s="7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35">
      <c r="A197" s="7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35">
      <c r="A198" s="7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35">
      <c r="A199" s="7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35">
      <c r="A200" s="7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35">
      <c r="A201" s="7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35">
      <c r="A202" s="7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35">
      <c r="A203" s="7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35">
      <c r="A204" s="7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35">
      <c r="A205" s="7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35">
      <c r="A206" s="7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35">
      <c r="A207" s="7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35">
      <c r="A208" s="7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35">
      <c r="A209" s="7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35">
      <c r="A210" s="7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35">
      <c r="A211" s="7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35">
      <c r="A212" s="7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35">
      <c r="A213" s="7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35">
      <c r="A214" s="7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35">
      <c r="A215" s="7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35">
      <c r="A216" s="7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35">
      <c r="A217" s="7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35">
      <c r="A218" s="7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35">
      <c r="A219" s="7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35">
      <c r="A220" s="7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35">
      <c r="A221" s="7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35">
      <c r="A222" s="7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35">
      <c r="A223" s="7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35">
      <c r="A224" s="7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35">
      <c r="A225" s="7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35">
      <c r="A226" s="7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35">
      <c r="A227" s="7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35">
      <c r="A228" s="7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35">
      <c r="A229" s="7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35">
      <c r="A230" s="7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35">
      <c r="A231" s="7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35">
      <c r="A232" s="7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35">
      <c r="A233" s="7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35">
      <c r="A234" s="7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35">
      <c r="A235" s="7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35">
      <c r="A236" s="7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35">
      <c r="A237" s="7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35">
      <c r="A238" s="7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35">
      <c r="A239" s="7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35">
      <c r="A240" s="7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35">
      <c r="A241" s="7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35">
      <c r="A242" s="7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35">
      <c r="A243" s="7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35">
      <c r="A244" s="7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35">
      <c r="A245" s="7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35">
      <c r="A246" s="7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35">
      <c r="A247" s="7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35">
      <c r="A248" s="7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35">
      <c r="A249" s="7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35">
      <c r="A250" s="7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35">
      <c r="A251" s="7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35">
      <c r="A252" s="7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35">
      <c r="A253" s="7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35">
      <c r="A254" s="7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35">
      <c r="A255" s="7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35">
      <c r="A256" s="7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35">
      <c r="A257" s="7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35">
      <c r="A258" s="7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35">
      <c r="A259" s="7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35">
      <c r="A260" s="7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35">
      <c r="A261" s="7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35">
      <c r="A262" s="7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35">
      <c r="A263" s="7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35">
      <c r="A264" s="7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35">
      <c r="A265" s="7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35">
      <c r="A266" s="7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35">
      <c r="A267" s="7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35">
      <c r="A268" s="7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35">
      <c r="A269" s="7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35">
      <c r="A270" s="7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35">
      <c r="A271" s="7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35">
      <c r="A272" s="7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35">
      <c r="A273" s="7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35">
      <c r="A274" s="7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35">
      <c r="A275" s="7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35">
      <c r="A276" s="7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35">
      <c r="A277" s="7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35">
      <c r="A278" s="7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35">
      <c r="A279" s="7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35">
      <c r="A280" s="7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35">
      <c r="A281" s="7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35">
      <c r="A282" s="7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35">
      <c r="A283" s="7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35">
      <c r="A284" s="7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35">
      <c r="A285" s="7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35">
      <c r="A286" s="7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35">
      <c r="A287" s="7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35">
      <c r="A288" s="7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35">
      <c r="A289" s="7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35">
      <c r="A290" s="7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35">
      <c r="A291" s="7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35">
      <c r="A292" s="7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35">
      <c r="A293" s="7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35">
      <c r="A294" s="7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35">
      <c r="A295" s="7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35">
      <c r="A296" s="7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35">
      <c r="A297" s="7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35">
      <c r="A298" s="7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35">
      <c r="A299" s="7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35">
      <c r="A300" s="7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35">
      <c r="A301" s="7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35">
      <c r="A302" s="7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35">
      <c r="A303" s="7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35">
      <c r="A304" s="7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35">
      <c r="A305" s="7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35">
      <c r="A306" s="7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35">
      <c r="A307" s="7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35">
      <c r="A308" s="7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35">
      <c r="A309" s="7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35">
      <c r="A310" s="7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35">
      <c r="A311" s="7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35">
      <c r="A312" s="7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35">
      <c r="A313" s="7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35">
      <c r="A314" s="7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35">
      <c r="A315" s="7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35">
      <c r="A316" s="7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35">
      <c r="A317" s="7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35">
      <c r="A318" s="7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35">
      <c r="A319" s="7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35">
      <c r="A320" s="7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35">
      <c r="A321" s="7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35">
      <c r="A322" s="7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35">
      <c r="A323" s="7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35">
      <c r="A324" s="7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35">
      <c r="A325" s="7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35">
      <c r="A326" s="7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35">
      <c r="A327" s="7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35">
      <c r="A328" s="7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35">
      <c r="A329" s="7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35">
      <c r="A330" s="7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35">
      <c r="A331" s="7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35">
      <c r="A332" s="7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35">
      <c r="A333" s="7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35">
      <c r="A334" s="7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35">
      <c r="A335" s="7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35">
      <c r="A336" s="7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35">
      <c r="A337" s="7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35">
      <c r="A338" s="7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35">
      <c r="A339" s="7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35">
      <c r="A340" s="7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35">
      <c r="A341" s="7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35">
      <c r="A342" s="7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35">
      <c r="A343" s="7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35">
      <c r="A344" s="7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35">
      <c r="A345" s="7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35">
      <c r="A346" s="7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35">
      <c r="A347" s="7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35">
      <c r="A348" s="7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35">
      <c r="A349" s="7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35">
      <c r="A350" s="7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35">
      <c r="A351" s="7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35">
      <c r="A352" s="7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35">
      <c r="A353" s="7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35">
      <c r="A354" s="7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35">
      <c r="A355" s="7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35">
      <c r="A356" s="7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35">
      <c r="A357" s="7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35">
      <c r="A358" s="7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35">
      <c r="A359" s="7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35">
      <c r="A360" s="7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35">
      <c r="A361" s="7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35">
      <c r="A362" s="7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35">
      <c r="A363" s="7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35">
      <c r="A364" s="7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35">
      <c r="A365" s="7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35">
      <c r="A366" s="7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35">
      <c r="A367" s="7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35">
      <c r="A368" s="7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35">
      <c r="A369" s="7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35">
      <c r="A370" s="7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35">
      <c r="A371" s="7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35">
      <c r="A372" s="7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35">
      <c r="A373" s="7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35">
      <c r="A374" s="7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35">
      <c r="A375" s="7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35">
      <c r="A376" s="7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35">
      <c r="A377" s="7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35">
      <c r="A378" s="7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35">
      <c r="A379" s="7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35">
      <c r="A380" s="7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35">
      <c r="A381" s="7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35">
      <c r="A382" s="7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35">
      <c r="A383" s="7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35">
      <c r="A384" s="7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35">
      <c r="A385" s="7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35">
      <c r="A386" s="7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35">
      <c r="A387" s="7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35">
      <c r="A388" s="7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35">
      <c r="A389" s="7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35">
      <c r="A390" s="7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35">
      <c r="A391" s="7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35">
      <c r="A392" s="7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35">
      <c r="A393" s="7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35">
      <c r="A394" s="7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35">
      <c r="A395" s="7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35">
      <c r="A396" s="7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35">
      <c r="A397" s="7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35">
      <c r="A398" s="7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35">
      <c r="A399" s="7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35">
      <c r="A400" s="7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35">
      <c r="A401" s="7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35">
      <c r="A402" s="7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35">
      <c r="A403" s="7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35">
      <c r="A404" s="7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35">
      <c r="A405" s="7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35">
      <c r="A406" s="7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35">
      <c r="A407" s="7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35">
      <c r="A408" s="7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35">
      <c r="A409" s="7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35">
      <c r="A410" s="7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35">
      <c r="A411" s="7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35">
      <c r="A412" s="7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35">
      <c r="A413" s="7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35">
      <c r="A414" s="7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35">
      <c r="A415" s="7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35">
      <c r="A416" s="7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35">
      <c r="A417" s="7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35">
      <c r="A418" s="7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35">
      <c r="A419" s="7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35">
      <c r="A420" s="7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35">
      <c r="A421" s="7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35">
      <c r="A422" s="7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35">
      <c r="A423" s="7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35">
      <c r="A424" s="7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35">
      <c r="A425" s="7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35">
      <c r="A426" s="7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35">
      <c r="A427" s="7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35">
      <c r="A428" s="7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35">
      <c r="A429" s="7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35">
      <c r="A430" s="7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35">
      <c r="A431" s="7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35">
      <c r="A432" s="7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35">
      <c r="A433" s="7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35">
      <c r="A434" s="7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35">
      <c r="A435" s="7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35">
      <c r="A436" s="7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35">
      <c r="A437" s="7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35">
      <c r="A438" s="7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35">
      <c r="A439" s="7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35">
      <c r="A440" s="7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35">
      <c r="A441" s="7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35">
      <c r="A442" s="7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35">
      <c r="A443" s="7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35">
      <c r="A444" s="7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35">
      <c r="A445" s="7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35">
      <c r="A446" s="7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35">
      <c r="A447" s="7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35">
      <c r="A448" s="7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35">
      <c r="A449" s="7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35">
      <c r="A450" s="7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35">
      <c r="A451" s="7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35">
      <c r="A452" s="7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35">
      <c r="A453" s="7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35">
      <c r="A454" s="7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35">
      <c r="A455" s="7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35">
      <c r="A456" s="7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35">
      <c r="A457" s="7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35">
      <c r="A458" s="7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35">
      <c r="A459" s="7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35">
      <c r="A460" s="7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35">
      <c r="A461" s="7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35">
      <c r="A462" s="7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35">
      <c r="A463" s="7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35">
      <c r="A464" s="7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35">
      <c r="A465" s="7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35">
      <c r="A466" s="7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35">
      <c r="A467" s="7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35">
      <c r="A468" s="7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35">
      <c r="A469" s="7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35">
      <c r="A470" s="7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35">
      <c r="A471" s="7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35">
      <c r="A472" s="7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35">
      <c r="A473" s="7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35">
      <c r="A474" s="7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35">
      <c r="A475" s="7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35">
      <c r="A476" s="7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35">
      <c r="A477" s="7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35">
      <c r="A478" s="7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35">
      <c r="A479" s="7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35">
      <c r="A480" s="7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35">
      <c r="A481" s="7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35">
      <c r="A482" s="7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35">
      <c r="A483" s="7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35">
      <c r="A484" s="7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35">
      <c r="A485" s="7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35">
      <c r="A486" s="7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35">
      <c r="A487" s="7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35">
      <c r="A488" s="7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35">
      <c r="A489" s="7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35">
      <c r="A490" s="7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35">
      <c r="A491" s="7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35">
      <c r="A492" s="7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35">
      <c r="A493" s="7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35">
      <c r="A494" s="7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35">
      <c r="A495" s="7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35">
      <c r="A496" s="7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35">
      <c r="A497" s="7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35">
      <c r="A498" s="7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35">
      <c r="A499" s="7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35">
      <c r="A500" s="7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35">
      <c r="A501" s="7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35">
      <c r="A502" s="7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35">
      <c r="A503" s="7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35">
      <c r="A504" s="7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35">
      <c r="A505" s="7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35">
      <c r="A506" s="7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35">
      <c r="A507" s="7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35">
      <c r="A508" s="7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35">
      <c r="A509" s="7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35">
      <c r="A510" s="7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35">
      <c r="A511" s="7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35">
      <c r="A512" s="7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35">
      <c r="A513" s="7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35">
      <c r="A514" s="7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35">
      <c r="A515" s="7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35">
      <c r="A516" s="7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35">
      <c r="A517" s="7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35">
      <c r="A518" s="7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35">
      <c r="A519" s="7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35">
      <c r="A520" s="7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35">
      <c r="A521" s="7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35">
      <c r="A522" s="7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35">
      <c r="A523" s="7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35">
      <c r="A524" s="7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35">
      <c r="A525" s="7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35">
      <c r="A526" s="7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35">
      <c r="A527" s="7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35">
      <c r="A528" s="7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35">
      <c r="A529" s="7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35">
      <c r="A530" s="7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35">
      <c r="A531" s="7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35">
      <c r="A532" s="7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35">
      <c r="A533" s="7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35">
      <c r="A534" s="7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35">
      <c r="A535" s="7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35">
      <c r="A536" s="7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35">
      <c r="A537" s="7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35">
      <c r="A538" s="7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35">
      <c r="A539" s="7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35">
      <c r="A540" s="7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35">
      <c r="A541" s="7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35">
      <c r="A542" s="7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35">
      <c r="A543" s="7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35">
      <c r="A544" s="7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35">
      <c r="A545" s="7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35">
      <c r="A546" s="7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35">
      <c r="A547" s="7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35">
      <c r="A548" s="7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35">
      <c r="A549" s="7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35">
      <c r="A550" s="7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35">
      <c r="A551" s="7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35">
      <c r="A552" s="7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35">
      <c r="A553" s="7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35">
      <c r="A554" s="7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35">
      <c r="A555" s="7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35">
      <c r="A556" s="7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35">
      <c r="A557" s="7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35">
      <c r="A558" s="7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35">
      <c r="A559" s="7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35">
      <c r="A560" s="7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35">
      <c r="A561" s="7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35">
      <c r="A562" s="7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35">
      <c r="A563" s="7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35">
      <c r="A564" s="7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35">
      <c r="A565" s="7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35">
      <c r="A566" s="7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35">
      <c r="A567" s="7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35">
      <c r="A568" s="7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35">
      <c r="A569" s="7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35">
      <c r="A570" s="7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35">
      <c r="A571" s="7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35">
      <c r="A572" s="7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35">
      <c r="A573" s="7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35">
      <c r="A574" s="7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35">
      <c r="A575" s="7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35">
      <c r="A576" s="7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35">
      <c r="A577" s="7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35">
      <c r="A578" s="7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35">
      <c r="A579" s="7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35">
      <c r="A580" s="7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35">
      <c r="A581" s="7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35">
      <c r="A582" s="7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35">
      <c r="A583" s="7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35">
      <c r="A584" s="7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35">
      <c r="A585" s="7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35">
      <c r="A586" s="7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35">
      <c r="A587" s="7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35">
      <c r="A588" s="7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35">
      <c r="A589" s="7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35">
      <c r="A590" s="7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35">
      <c r="A591" s="7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35">
      <c r="A592" s="7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35">
      <c r="A593" s="7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35">
      <c r="A594" s="7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35">
      <c r="A595" s="7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35">
      <c r="A596" s="7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35">
      <c r="A597" s="7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35">
      <c r="A598" s="7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35">
      <c r="A599" s="7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35">
      <c r="A600" s="7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35">
      <c r="A601" s="7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35">
      <c r="A602" s="7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35">
      <c r="A603" s="7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35">
      <c r="A604" s="7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35">
      <c r="A605" s="7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35">
      <c r="A606" s="7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35">
      <c r="A607" s="7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35">
      <c r="A608" s="7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35">
      <c r="A609" s="7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35">
      <c r="A610" s="7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35">
      <c r="A611" s="7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35">
      <c r="A612" s="7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35">
      <c r="A613" s="7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35">
      <c r="A614" s="7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35">
      <c r="A615" s="7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35">
      <c r="A616" s="7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35">
      <c r="A617" s="7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35">
      <c r="A618" s="7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35">
      <c r="A619" s="7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35">
      <c r="A620" s="7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35">
      <c r="A621" s="7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35">
      <c r="A622" s="7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35">
      <c r="A623" s="7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35">
      <c r="A624" s="7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35">
      <c r="A625" s="7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35">
      <c r="A626" s="7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35">
      <c r="A627" s="7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35">
      <c r="A628" s="7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35">
      <c r="A629" s="7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35">
      <c r="A630" s="7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35">
      <c r="A631" s="7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35">
      <c r="A632" s="7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35">
      <c r="A633" s="7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35">
      <c r="A634" s="7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35">
      <c r="A635" s="7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35">
      <c r="A636" s="7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35">
      <c r="A637" s="7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35">
      <c r="A638" s="7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35">
      <c r="A639" s="7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35">
      <c r="A640" s="7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35">
      <c r="A641" s="7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35">
      <c r="A642" s="7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35">
      <c r="A643" s="7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35">
      <c r="A644" s="7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35">
      <c r="A645" s="7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35">
      <c r="A646" s="7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35">
      <c r="A647" s="7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35">
      <c r="A648" s="7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35">
      <c r="A649" s="7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35">
      <c r="A650" s="7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35">
      <c r="A651" s="7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35">
      <c r="A652" s="7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35">
      <c r="A653" s="7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35">
      <c r="A654" s="7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35">
      <c r="A655" s="7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35">
      <c r="A656" s="7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35">
      <c r="A657" s="7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35">
      <c r="A658" s="7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35">
      <c r="A659" s="7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35">
      <c r="A660" s="7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35">
      <c r="A661" s="7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35">
      <c r="A662" s="7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35">
      <c r="A663" s="7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35">
      <c r="A664" s="7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35">
      <c r="A665" s="7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35">
      <c r="A666" s="7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35">
      <c r="A667" s="7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35">
      <c r="A668" s="7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35">
      <c r="A669" s="7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35">
      <c r="A670" s="7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35">
      <c r="A671" s="7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35">
      <c r="A672" s="7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35">
      <c r="A673" s="7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35">
      <c r="A674" s="7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35">
      <c r="A675" s="7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35">
      <c r="A676" s="7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35">
      <c r="A677" s="7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35">
      <c r="A678" s="7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35">
      <c r="A679" s="7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35">
      <c r="A680" s="7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35">
      <c r="A681" s="7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35">
      <c r="A682" s="7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35">
      <c r="A683" s="7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35">
      <c r="A684" s="7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35">
      <c r="A685" s="7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35">
      <c r="A686" s="7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35">
      <c r="A687" s="7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35">
      <c r="A688" s="7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35">
      <c r="A689" s="7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35">
      <c r="A690" s="7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35">
      <c r="A691" s="7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35">
      <c r="A692" s="7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35">
      <c r="A693" s="7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35">
      <c r="A694" s="7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35">
      <c r="A695" s="7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35">
      <c r="A696" s="7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35">
      <c r="A697" s="7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35">
      <c r="A698" s="7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35">
      <c r="A699" s="7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35">
      <c r="A700" s="7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35">
      <c r="A701" s="7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35">
      <c r="A702" s="7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35">
      <c r="A703" s="7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35">
      <c r="A704" s="7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35">
      <c r="A705" s="7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35">
      <c r="A706" s="7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35">
      <c r="A707" s="7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35">
      <c r="A708" s="7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35">
      <c r="A709" s="7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35">
      <c r="A710" s="7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35">
      <c r="A711" s="7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35">
      <c r="A712" s="7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35">
      <c r="A713" s="7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35">
      <c r="A714" s="7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35">
      <c r="A715" s="7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35">
      <c r="A716" s="7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35">
      <c r="A717" s="7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35">
      <c r="A718" s="7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35">
      <c r="A719" s="7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35">
      <c r="A720" s="7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35">
      <c r="A721" s="7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35">
      <c r="A722" s="7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35">
      <c r="A723" s="7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35">
      <c r="A724" s="7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35">
      <c r="A725" s="7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35">
      <c r="A726" s="7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35">
      <c r="A727" s="7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35">
      <c r="A728" s="7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35">
      <c r="A729" s="7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35">
      <c r="A730" s="7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35">
      <c r="A731" s="7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35">
      <c r="A732" s="7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35">
      <c r="A733" s="7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35">
      <c r="A734" s="7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35">
      <c r="A735" s="7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35">
      <c r="A736" s="7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35">
      <c r="A737" s="7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35">
      <c r="A738" s="7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35">
      <c r="A739" s="7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35">
      <c r="A740" s="7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35">
      <c r="A741" s="7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35">
      <c r="A742" s="7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35">
      <c r="A743" s="7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35">
      <c r="A744" s="7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35">
      <c r="A745" s="7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35">
      <c r="A746" s="7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35">
      <c r="A747" s="7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35">
      <c r="A748" s="7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35">
      <c r="A749" s="7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35">
      <c r="A750" s="7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35">
      <c r="A751" s="7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35">
      <c r="A752" s="7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35">
      <c r="A753" s="7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35">
      <c r="A754" s="7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35">
      <c r="A755" s="7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35">
      <c r="A756" s="7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35">
      <c r="A757" s="7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35">
      <c r="A758" s="7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35">
      <c r="A759" s="7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35">
      <c r="A760" s="7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35">
      <c r="A761" s="7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35">
      <c r="A762" s="7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35">
      <c r="A763" s="7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35">
      <c r="A764" s="7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35">
      <c r="A765" s="7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35">
      <c r="A766" s="7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35">
      <c r="A767" s="7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35">
      <c r="A768" s="7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35">
      <c r="A769" s="7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35">
      <c r="A770" s="7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35">
      <c r="A771" s="7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35">
      <c r="A772" s="7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35">
      <c r="A773" s="7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35">
      <c r="A774" s="7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35">
      <c r="A775" s="7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35">
      <c r="A776" s="7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35">
      <c r="A777" s="7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35">
      <c r="A778" s="7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35">
      <c r="A779" s="7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35">
      <c r="A780" s="7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35">
      <c r="A781" s="7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35">
      <c r="A782" s="7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35">
      <c r="A783" s="7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35">
      <c r="A784" s="7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35">
      <c r="A785" s="7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35">
      <c r="A786" s="7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35">
      <c r="A787" s="7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35">
      <c r="A788" s="7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35">
      <c r="A789" s="7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35">
      <c r="A790" s="7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35">
      <c r="A791" s="7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35">
      <c r="A792" s="7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35">
      <c r="A793" s="7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35">
      <c r="A794" s="7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35">
      <c r="A795" s="7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35">
      <c r="A796" s="7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35">
      <c r="A797" s="7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35">
      <c r="A798" s="7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35">
      <c r="A799" s="7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35">
      <c r="A800" s="7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35">
      <c r="A801" s="7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35">
      <c r="A802" s="7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35">
      <c r="A803" s="7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35">
      <c r="A804" s="7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35">
      <c r="A805" s="7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35">
      <c r="A806" s="7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35">
      <c r="A807" s="7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35">
      <c r="A808" s="7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35">
      <c r="A809" s="7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35">
      <c r="A810" s="7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35">
      <c r="A811" s="7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35">
      <c r="A812" s="7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35">
      <c r="A813" s="7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35">
      <c r="A814" s="7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35">
      <c r="A815" s="7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35">
      <c r="A816" s="7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35">
      <c r="A817" s="7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35">
      <c r="A818" s="7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35">
      <c r="A819" s="7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35">
      <c r="A820" s="7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35">
      <c r="A821" s="7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35">
      <c r="A822" s="7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35">
      <c r="A823" s="7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35">
      <c r="A824" s="7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35">
      <c r="A825" s="7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35">
      <c r="A826" s="7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35">
      <c r="A827" s="7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35">
      <c r="A828" s="7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35">
      <c r="A829" s="7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35">
      <c r="A830" s="7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35">
      <c r="A831" s="7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35">
      <c r="A832" s="7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35">
      <c r="A833" s="7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35">
      <c r="A834" s="7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35">
      <c r="A835" s="7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35">
      <c r="A836" s="7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35">
      <c r="A837" s="7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35">
      <c r="A838" s="7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35">
      <c r="A839" s="7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35">
      <c r="A840" s="7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35">
      <c r="A841" s="7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35">
      <c r="A842" s="7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35">
      <c r="A843" s="7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35">
      <c r="A844" s="7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35">
      <c r="A845" s="7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35">
      <c r="A846" s="7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35">
      <c r="A847" s="7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35">
      <c r="A848" s="7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35">
      <c r="A849" s="7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35">
      <c r="A850" s="7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35">
      <c r="A851" s="7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35">
      <c r="A852" s="7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35">
      <c r="A853" s="7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35">
      <c r="A854" s="7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35">
      <c r="A855" s="7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35">
      <c r="A856" s="7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35">
      <c r="A857" s="7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35">
      <c r="A858" s="7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35">
      <c r="A859" s="7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35">
      <c r="A860" s="7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35">
      <c r="A861" s="7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35">
      <c r="A862" s="7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35">
      <c r="A863" s="7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35">
      <c r="A864" s="7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35">
      <c r="A865" s="7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35">
      <c r="A866" s="7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35">
      <c r="A867" s="7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35">
      <c r="A868" s="7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35">
      <c r="A869" s="7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35">
      <c r="A870" s="7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35">
      <c r="A871" s="7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35">
      <c r="A872" s="7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35">
      <c r="A873" s="7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35">
      <c r="A874" s="7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35">
      <c r="A875" s="7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35">
      <c r="A876" s="7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35">
      <c r="A877" s="7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35">
      <c r="A878" s="7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35">
      <c r="A879" s="7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35">
      <c r="A880" s="7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35">
      <c r="A881" s="7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35">
      <c r="A882" s="7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35">
      <c r="A883" s="7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35">
      <c r="A884" s="7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35">
      <c r="A885" s="7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35">
      <c r="A886" s="7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35">
      <c r="A887" s="7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35">
      <c r="A888" s="7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35">
      <c r="A889" s="7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35">
      <c r="A890" s="7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35">
      <c r="A891" s="7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35">
      <c r="A892" s="7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35">
      <c r="A893" s="7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35">
      <c r="A894" s="7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35">
      <c r="A895" s="7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35">
      <c r="A896" s="7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35">
      <c r="A897" s="7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35">
      <c r="A898" s="7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35">
      <c r="A899" s="7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35">
      <c r="A900" s="7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35">
      <c r="A901" s="7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35">
      <c r="A902" s="7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35">
      <c r="A903" s="7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35">
      <c r="A904" s="7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35">
      <c r="A905" s="7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35">
      <c r="A906" s="7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35">
      <c r="A907" s="7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35">
      <c r="A908" s="7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35">
      <c r="A909" s="7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35">
      <c r="A910" s="7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35">
      <c r="A911" s="7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35">
      <c r="A912" s="7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35">
      <c r="A913" s="7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35">
      <c r="A914" s="7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35">
      <c r="A915" s="7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35">
      <c r="A916" s="7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35">
      <c r="A917" s="7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35">
      <c r="A918" s="7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35">
      <c r="A919" s="7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35">
      <c r="A920" s="7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35">
      <c r="A921" s="7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35">
      <c r="A922" s="7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35">
      <c r="A923" s="7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35">
      <c r="A924" s="7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35">
      <c r="A925" s="7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35">
      <c r="A926" s="7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35">
      <c r="A927" s="7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35">
      <c r="A928" s="7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35">
      <c r="A929" s="7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35">
      <c r="A930" s="7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35">
      <c r="A931" s="7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35">
      <c r="A932" s="7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35">
      <c r="A933" s="7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35">
      <c r="A934" s="7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35">
      <c r="A935" s="7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35">
      <c r="A936" s="7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35">
      <c r="A937" s="7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35">
      <c r="A938" s="7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35">
      <c r="A939" s="7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35">
      <c r="A940" s="7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35">
      <c r="A941" s="7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35">
      <c r="A942" s="7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35">
      <c r="A943" s="7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35">
      <c r="A944" s="7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35">
      <c r="A945" s="7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35">
      <c r="A946" s="7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35">
      <c r="A947" s="7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35">
      <c r="A948" s="7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35">
      <c r="A949" s="7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35">
      <c r="A950" s="7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35">
      <c r="A951" s="7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35">
      <c r="A952" s="7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35">
      <c r="A953" s="7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35">
      <c r="A954" s="7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35">
      <c r="A955" s="7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35">
      <c r="A956" s="7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35">
      <c r="A957" s="7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35">
      <c r="A958" s="7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35">
      <c r="A959" s="7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35">
      <c r="A960" s="7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35">
      <c r="A961" s="7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35">
      <c r="A962" s="7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35">
      <c r="A963" s="7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35">
      <c r="A964" s="7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35">
      <c r="A965" s="7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35">
      <c r="A966" s="7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35">
      <c r="A967" s="7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35">
      <c r="A968" s="7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35">
      <c r="A969" s="7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35">
      <c r="A970" s="7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35">
      <c r="A971" s="7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35">
      <c r="A972" s="7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35">
      <c r="A973" s="7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35">
      <c r="A974" s="7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35">
      <c r="A975" s="7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35">
      <c r="A976" s="7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35">
      <c r="A977" s="7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35">
      <c r="A978" s="7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35">
      <c r="A979" s="7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35">
      <c r="A980" s="7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35">
      <c r="A981" s="7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35">
      <c r="A982" s="7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35">
      <c r="A983" s="7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35">
      <c r="A984" s="7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35">
      <c r="A985" s="7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35">
      <c r="A986" s="7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35">
      <c r="A987" s="7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35">
      <c r="A988" s="7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35">
      <c r="A989" s="7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35">
      <c r="A990" s="7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35">
      <c r="A991" s="7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35">
      <c r="A992" s="7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35">
      <c r="A993" s="7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35">
      <c r="A994" s="7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35">
      <c r="A995" s="7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35">
      <c r="A996" s="7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35">
      <c r="A997" s="7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35">
      <c r="A998" s="7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35">
      <c r="A999" s="7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x14ac:dyDescent="0.35">
      <c r="A1000" s="7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x14ac:dyDescent="0.35">
      <c r="A1001" s="7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x14ac:dyDescent="0.35">
      <c r="A1002" s="7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</sheetData>
  <hyperlinks>
    <hyperlink ref="G5" r:id="rId1"/>
    <hyperlink ref="F31" r:id="rId2"/>
  </hyperlink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1003"/>
  <sheetViews>
    <sheetView topLeftCell="A20" workbookViewId="0">
      <selection activeCell="C28" sqref="C28"/>
    </sheetView>
  </sheetViews>
  <sheetFormatPr defaultColWidth="15.1796875" defaultRowHeight="14.5" x14ac:dyDescent="0.35"/>
  <cols>
    <col min="1" max="1" width="4.81640625" customWidth="1"/>
    <col min="2" max="2" width="66.453125" customWidth="1"/>
    <col min="3" max="3" width="18.1796875" customWidth="1"/>
    <col min="4" max="4" width="28" customWidth="1"/>
    <col min="5" max="5" width="17.1796875" customWidth="1"/>
    <col min="6" max="6" width="30.81640625" customWidth="1"/>
    <col min="7" max="7" width="21.453125" customWidth="1"/>
    <col min="8" max="17" width="6.6328125" customWidth="1"/>
    <col min="18" max="26" width="13.1796875" customWidth="1"/>
  </cols>
  <sheetData>
    <row r="1" spans="1:26" x14ac:dyDescent="0.35">
      <c r="A1" s="70"/>
      <c r="B1" s="163" t="s">
        <v>699</v>
      </c>
      <c r="C1" s="164"/>
      <c r="D1" s="164"/>
      <c r="E1" s="164"/>
      <c r="F1" s="91"/>
      <c r="G1" s="9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7.5" x14ac:dyDescent="0.35">
      <c r="A2" s="70"/>
      <c r="B2" s="7"/>
      <c r="C2" s="92"/>
      <c r="D2" s="7"/>
      <c r="E2" s="92"/>
      <c r="F2" s="91"/>
      <c r="G2" s="9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35">
      <c r="A3" s="6"/>
      <c r="B3" s="100" t="s">
        <v>0</v>
      </c>
      <c r="C3" s="100" t="s">
        <v>708</v>
      </c>
      <c r="D3" s="100" t="s">
        <v>1</v>
      </c>
      <c r="E3" s="100" t="s">
        <v>2</v>
      </c>
      <c r="F3" s="102" t="s">
        <v>707</v>
      </c>
      <c r="G3" s="102" t="s">
        <v>689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42.5" x14ac:dyDescent="0.35">
      <c r="A4" s="19">
        <v>1</v>
      </c>
      <c r="B4" s="19" t="s">
        <v>1385</v>
      </c>
      <c r="C4" s="19" t="s">
        <v>668</v>
      </c>
      <c r="D4" s="19" t="s">
        <v>10</v>
      </c>
      <c r="E4" s="19" t="s">
        <v>11</v>
      </c>
      <c r="F4" s="20" t="str">
        <f>HYPERLINK("http://agma.astranet.ru/?cid=150","http://agma.astranet.ru/?cid=150")</f>
        <v>http://agma.astranet.ru/?cid=150</v>
      </c>
      <c r="G4" s="2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8.5" x14ac:dyDescent="0.35">
      <c r="A5" s="19">
        <v>2</v>
      </c>
      <c r="B5" s="19" t="s">
        <v>1386</v>
      </c>
      <c r="C5" s="19" t="s">
        <v>668</v>
      </c>
      <c r="D5" s="19" t="s">
        <v>1387</v>
      </c>
      <c r="E5" s="19" t="s">
        <v>11</v>
      </c>
      <c r="F5" s="20" t="str">
        <f>HYPERLINK("http://asu.edu.ru/","http://asu.edu.ru/")</f>
        <v>http://asu.edu.ru/</v>
      </c>
      <c r="G5" s="2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42.5" x14ac:dyDescent="0.35">
      <c r="A6" s="19">
        <v>3</v>
      </c>
      <c r="B6" s="19" t="s">
        <v>1388</v>
      </c>
      <c r="C6" s="19" t="s">
        <v>668</v>
      </c>
      <c r="D6" s="19" t="s">
        <v>1389</v>
      </c>
      <c r="E6" s="19" t="s">
        <v>24</v>
      </c>
      <c r="F6" s="20" t="str">
        <f>HYPERLINK("http://www.volgmed.ru/ru/depts/list/24/","http://www.volgmed.ru/ru/depts/list/24/")</f>
        <v>http://www.volgmed.ru/ru/depts/list/24/</v>
      </c>
      <c r="G6" s="2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42.5" x14ac:dyDescent="0.35">
      <c r="A7" s="19">
        <v>4</v>
      </c>
      <c r="B7" s="19" t="s">
        <v>1390</v>
      </c>
      <c r="C7" s="19" t="s">
        <v>668</v>
      </c>
      <c r="D7" s="19" t="s">
        <v>1391</v>
      </c>
      <c r="E7" s="19" t="s">
        <v>24</v>
      </c>
      <c r="F7" s="20" t="str">
        <f>HYPERLINK("http://www.vstu.ru/tsentr-trudoustroistva-volggtu.html","http://www.vstu.ru/tsentr-trudoustroistva-volggtu.html")</f>
        <v>http://www.vstu.ru/tsentr-trudoustroistva-volggtu.html</v>
      </c>
      <c r="G7" s="25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42.5" x14ac:dyDescent="0.35">
      <c r="A8" s="19">
        <v>5</v>
      </c>
      <c r="B8" s="19" t="s">
        <v>25</v>
      </c>
      <c r="C8" s="19" t="s">
        <v>692</v>
      </c>
      <c r="D8" s="19" t="s">
        <v>26</v>
      </c>
      <c r="E8" s="19" t="s">
        <v>24</v>
      </c>
      <c r="F8" s="20" t="str">
        <f>HYPERLINK("http://rheumatolog.ru/institut/job","http://rheumatolog.ru/institut/job")</f>
        <v>http://rheumatolog.ru/institut/job</v>
      </c>
      <c r="G8" s="25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42.5" x14ac:dyDescent="0.35">
      <c r="A9" s="19">
        <v>6</v>
      </c>
      <c r="B9" s="19" t="s">
        <v>382</v>
      </c>
      <c r="C9" s="19" t="s">
        <v>692</v>
      </c>
      <c r="D9" s="19" t="s">
        <v>366</v>
      </c>
      <c r="E9" s="19" t="s">
        <v>136</v>
      </c>
      <c r="F9" s="20" t="str">
        <f>HYPERLINK("http://www.vniibzr.ru/page.htm?rn=24","http://www.vniibzr.ru/page.htm?rn=24")</f>
        <v>http://www.vniibzr.ru/page.htm?rn=24</v>
      </c>
      <c r="G9" s="25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42.5" x14ac:dyDescent="0.35">
      <c r="A10" s="19">
        <v>7</v>
      </c>
      <c r="B10" s="19" t="s">
        <v>383</v>
      </c>
      <c r="C10" s="19" t="s">
        <v>668</v>
      </c>
      <c r="D10" s="19" t="s">
        <v>384</v>
      </c>
      <c r="E10" s="19" t="s">
        <v>136</v>
      </c>
      <c r="F10" s="20" t="str">
        <f>HYPERLINK("http://kubsau.ru/university/contacts/","http://kubsau.ru/university/contacts/")</f>
        <v>http://kubsau.ru/university/contacts/</v>
      </c>
      <c r="G10" s="25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2.5" x14ac:dyDescent="0.35">
      <c r="A11" s="19">
        <v>8</v>
      </c>
      <c r="B11" s="19" t="s">
        <v>1392</v>
      </c>
      <c r="C11" s="19" t="s">
        <v>668</v>
      </c>
      <c r="D11" s="19" t="s">
        <v>1393</v>
      </c>
      <c r="E11" s="19" t="s">
        <v>136</v>
      </c>
      <c r="F11" s="20" t="str">
        <f>HYPERLINK("http://www.ksma.ru/konkursy_i_vakansii/","http://www.ksma.ru/konkursy_i_vakansii/")</f>
        <v>http://www.ksma.ru/konkursy_i_vakansii/</v>
      </c>
      <c r="G11" s="2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42.5" x14ac:dyDescent="0.35">
      <c r="A12" s="19">
        <v>9</v>
      </c>
      <c r="B12" s="19" t="s">
        <v>1394</v>
      </c>
      <c r="C12" s="19" t="s">
        <v>668</v>
      </c>
      <c r="D12" s="19" t="s">
        <v>1395</v>
      </c>
      <c r="E12" s="19" t="s">
        <v>136</v>
      </c>
      <c r="F12" s="20" t="str">
        <f>HYPERLINK("http://kguki.com/studentam/trudoustrojstvo/vakansii","http://kguki.com/studentam/trudoustrojstvo/vakansii")</f>
        <v>http://kguki.com/studentam/trudoustrojstvo/vakansii</v>
      </c>
      <c r="G12" s="25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56.5" x14ac:dyDescent="0.35">
      <c r="A13" s="19">
        <v>10</v>
      </c>
      <c r="B13" s="19" t="s">
        <v>385</v>
      </c>
      <c r="C13" s="19" t="s">
        <v>692</v>
      </c>
      <c r="D13" s="19" t="s">
        <v>367</v>
      </c>
      <c r="E13" s="19" t="s">
        <v>136</v>
      </c>
      <c r="F13" s="20" t="str">
        <f>HYPERLINK("http://www.kniihpsp.ru/vakansii/","http://www.kniihpsp.ru/vakansii/")</f>
        <v>http://www.kniihpsp.ru/vakansii/</v>
      </c>
      <c r="G13" s="25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8.5" x14ac:dyDescent="0.35">
      <c r="A14" s="19">
        <v>11</v>
      </c>
      <c r="B14" s="19" t="s">
        <v>387</v>
      </c>
      <c r="C14" s="19" t="s">
        <v>690</v>
      </c>
      <c r="D14" s="19" t="s">
        <v>369</v>
      </c>
      <c r="E14" s="19" t="s">
        <v>136</v>
      </c>
      <c r="F14" s="20" t="str">
        <f>HYPERLINK("http://aviaremont.ru/frames/job/","http://aviaremont.ru/frames/job/")</f>
        <v>http://aviaremont.ru/frames/job/</v>
      </c>
      <c r="G14" s="25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8.5" x14ac:dyDescent="0.35">
      <c r="A15" s="19">
        <v>12</v>
      </c>
      <c r="B15" s="19" t="s">
        <v>1396</v>
      </c>
      <c r="C15" s="19" t="s">
        <v>690</v>
      </c>
      <c r="D15" s="19" t="s">
        <v>1397</v>
      </c>
      <c r="E15" s="19" t="s">
        <v>136</v>
      </c>
      <c r="F15" s="20" t="str">
        <f>HYPERLINK("http://www.nsrz.ru/rus/vacations.php","http://www.nsrz.ru/rus/vacations.php")</f>
        <v>http://www.nsrz.ru/rus/vacations.php</v>
      </c>
      <c r="G15" s="20" t="str">
        <f>HYPERLINK("https://hh.ru/employer/1072068","https://hh.ru/employer/1072068")</f>
        <v>https://hh.ru/employer/1072068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2.5" x14ac:dyDescent="0.35">
      <c r="A16" s="19">
        <v>13</v>
      </c>
      <c r="B16" s="19" t="s">
        <v>1398</v>
      </c>
      <c r="C16" s="19" t="s">
        <v>668</v>
      </c>
      <c r="D16" s="19" t="s">
        <v>1399</v>
      </c>
      <c r="E16" s="19" t="s">
        <v>136</v>
      </c>
      <c r="F16" s="35" t="s">
        <v>1400</v>
      </c>
      <c r="G16" s="55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2.5" x14ac:dyDescent="0.35">
      <c r="A17" s="19">
        <v>14</v>
      </c>
      <c r="B17" s="19" t="s">
        <v>1401</v>
      </c>
      <c r="C17" s="19" t="s">
        <v>690</v>
      </c>
      <c r="D17" s="19" t="s">
        <v>1402</v>
      </c>
      <c r="E17" s="19" t="s">
        <v>136</v>
      </c>
      <c r="F17" s="35" t="s">
        <v>1403</v>
      </c>
      <c r="G17" s="55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56.5" x14ac:dyDescent="0.35">
      <c r="A18" s="19">
        <v>15</v>
      </c>
      <c r="B18" s="19" t="s">
        <v>1404</v>
      </c>
      <c r="C18" s="19" t="s">
        <v>668</v>
      </c>
      <c r="D18" s="19" t="s">
        <v>1405</v>
      </c>
      <c r="E18" s="19" t="s">
        <v>589</v>
      </c>
      <c r="F18" s="20" t="str">
        <f>HYPERLINK("http://sfedu.ru/www/stat_pages22.show?p=UNI/N11898","http://sfedu.ru/www/stat_pages22.show?p=UNI/N11898")</f>
        <v>http://sfedu.ru/www/stat_pages22.show?p=UNI/N11898</v>
      </c>
      <c r="G18" s="2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2.5" x14ac:dyDescent="0.35">
      <c r="A19" s="19">
        <v>16</v>
      </c>
      <c r="B19" s="19" t="s">
        <v>1406</v>
      </c>
      <c r="C19" s="19" t="s">
        <v>668</v>
      </c>
      <c r="D19" s="19" t="s">
        <v>1407</v>
      </c>
      <c r="E19" s="19" t="s">
        <v>589</v>
      </c>
      <c r="F19" s="103" t="s">
        <v>1454</v>
      </c>
      <c r="G19" s="2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8.5" x14ac:dyDescent="0.35">
      <c r="A20" s="19">
        <v>17</v>
      </c>
      <c r="B20" s="19" t="s">
        <v>590</v>
      </c>
      <c r="C20" s="19" t="s">
        <v>690</v>
      </c>
      <c r="D20" s="19" t="s">
        <v>484</v>
      </c>
      <c r="E20" s="19" t="s">
        <v>589</v>
      </c>
      <c r="F20" s="20" t="str">
        <f>HYPERLINK("http://nppkpkvant.ru/vakansii/","http://nppkpkvant.ru/vakansii/")</f>
        <v>http://nppkpkvant.ru/vakansii/</v>
      </c>
      <c r="G20" s="20" t="str">
        <f>HYPERLINK("https://hh.ru/employer/1739132","https://hh.ru/employer/1739132")</f>
        <v>https://hh.ru/employer/1739132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8.5" x14ac:dyDescent="0.35">
      <c r="A21" s="19">
        <v>18</v>
      </c>
      <c r="B21" s="19" t="s">
        <v>591</v>
      </c>
      <c r="C21" s="19" t="s">
        <v>690</v>
      </c>
      <c r="D21" s="19" t="s">
        <v>485</v>
      </c>
      <c r="E21" s="19" t="s">
        <v>589</v>
      </c>
      <c r="F21" s="20" t="str">
        <f>HYPERLINK("http://www.aomz.azov.ru/","http://www.aomz.azov.ru/")</f>
        <v>http://www.aomz.azov.ru/</v>
      </c>
      <c r="G21" s="25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2.5" x14ac:dyDescent="0.35">
      <c r="A22" s="19">
        <v>19</v>
      </c>
      <c r="B22" s="19" t="s">
        <v>592</v>
      </c>
      <c r="C22" s="19" t="s">
        <v>690</v>
      </c>
      <c r="D22" s="19" t="s">
        <v>486</v>
      </c>
      <c r="E22" s="19" t="s">
        <v>589</v>
      </c>
      <c r="F22" s="20" t="str">
        <f>HYPERLINK("http://www.aemtech.ru/career/job2/","http://www.aemtech.ru/career/job2/")</f>
        <v>http://www.aemtech.ru/career/job2/</v>
      </c>
      <c r="G22" s="20" t="str">
        <f>HYPERLINK("https://hh.ru/employer/624167","https://hh.ru/employer/624167")</f>
        <v>https://hh.ru/employer/624167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2.5" x14ac:dyDescent="0.35">
      <c r="A23" s="19">
        <v>20</v>
      </c>
      <c r="B23" s="19" t="s">
        <v>1408</v>
      </c>
      <c r="C23" s="19" t="s">
        <v>668</v>
      </c>
      <c r="D23" s="19" t="s">
        <v>1409</v>
      </c>
      <c r="E23" s="19" t="s">
        <v>589</v>
      </c>
      <c r="F23" s="20" t="str">
        <f>HYPERLINK("http://www.rgsu.ru/job/rgsu/","http://www.rgsu.ru/job/rgsu/")</f>
        <v>http://www.rgsu.ru/job/rgsu/</v>
      </c>
      <c r="G23" s="25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56.5" x14ac:dyDescent="0.35">
      <c r="A24" s="19">
        <v>21</v>
      </c>
      <c r="B24" s="64" t="s">
        <v>1410</v>
      </c>
      <c r="C24" s="64" t="s">
        <v>690</v>
      </c>
      <c r="D24" s="64" t="s">
        <v>1411</v>
      </c>
      <c r="E24" s="64" t="s">
        <v>589</v>
      </c>
      <c r="F24" s="147" t="str">
        <f>HYPERLINK("http://beriev.com/rus/core.html","http://beriev.com/rus/core.html")</f>
        <v>http://beriev.com/rus/core.html</v>
      </c>
      <c r="G24" s="25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108" customFormat="1" ht="42.5" x14ac:dyDescent="0.35">
      <c r="A25" s="19">
        <v>22</v>
      </c>
      <c r="B25" s="115" t="s">
        <v>1639</v>
      </c>
      <c r="C25" s="115" t="s">
        <v>734</v>
      </c>
      <c r="D25" s="115" t="s">
        <v>1640</v>
      </c>
      <c r="E25" s="115" t="s">
        <v>589</v>
      </c>
      <c r="F25" s="131" t="s">
        <v>1641</v>
      </c>
      <c r="G25" s="151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42.5" x14ac:dyDescent="0.35">
      <c r="A26" s="19">
        <v>23</v>
      </c>
      <c r="B26" s="68" t="s">
        <v>1412</v>
      </c>
      <c r="C26" s="68" t="s">
        <v>668</v>
      </c>
      <c r="D26" s="68" t="s">
        <v>552</v>
      </c>
      <c r="E26" s="68" t="s">
        <v>553</v>
      </c>
      <c r="F26" s="153" t="s">
        <v>1455</v>
      </c>
      <c r="G26" s="25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35">
      <c r="A27" s="70"/>
      <c r="B27" s="1"/>
      <c r="C27" s="70"/>
      <c r="D27" s="1"/>
      <c r="E27" s="70"/>
      <c r="F27" s="91"/>
      <c r="G27" s="9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35">
      <c r="A28" s="7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35">
      <c r="A29" s="7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35">
      <c r="A30" s="7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35">
      <c r="A31" s="7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35">
      <c r="A32" s="7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35">
      <c r="A33" s="7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35">
      <c r="A34" s="7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35">
      <c r="A35" s="7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35">
      <c r="A36" s="7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35">
      <c r="A37" s="7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35">
      <c r="A38" s="7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35">
      <c r="A39" s="7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35">
      <c r="A40" s="7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35">
      <c r="A41" s="7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35">
      <c r="A42" s="7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35">
      <c r="A43" s="7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35">
      <c r="A44" s="7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35">
      <c r="A45" s="7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35">
      <c r="A46" s="7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35">
      <c r="A47" s="7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35">
      <c r="A48" s="7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35">
      <c r="A49" s="7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35">
      <c r="A50" s="7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35">
      <c r="A51" s="7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35">
      <c r="A52" s="7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35">
      <c r="A53" s="7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35">
      <c r="A54" s="7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35">
      <c r="A55" s="7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35">
      <c r="A56" s="7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35">
      <c r="A57" s="7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35">
      <c r="A58" s="7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35">
      <c r="A59" s="7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35">
      <c r="A60" s="7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35">
      <c r="A61" s="7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35">
      <c r="A62" s="7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35">
      <c r="A63" s="7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35">
      <c r="A64" s="7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35">
      <c r="A65" s="7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35">
      <c r="A66" s="7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35">
      <c r="A67" s="7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35">
      <c r="A68" s="7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35">
      <c r="A69" s="7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35">
      <c r="A70" s="7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35">
      <c r="A71" s="7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35">
      <c r="A72" s="7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35">
      <c r="A73" s="7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35">
      <c r="A74" s="7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35">
      <c r="A75" s="7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35">
      <c r="A76" s="7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35">
      <c r="A77" s="7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35">
      <c r="A78" s="7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35">
      <c r="A79" s="7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35">
      <c r="A80" s="7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35">
      <c r="A81" s="7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35">
      <c r="A82" s="7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35">
      <c r="A83" s="7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35">
      <c r="A84" s="7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35">
      <c r="A85" s="7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35">
      <c r="A86" s="7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35">
      <c r="A87" s="7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35">
      <c r="A88" s="7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35">
      <c r="A89" s="7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35">
      <c r="A90" s="7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35">
      <c r="A91" s="7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35">
      <c r="A92" s="7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35">
      <c r="A93" s="7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35">
      <c r="A94" s="7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35">
      <c r="A95" s="7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35">
      <c r="A96" s="7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35">
      <c r="A97" s="7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35">
      <c r="A98" s="7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35">
      <c r="A99" s="7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35">
      <c r="A100" s="7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35">
      <c r="A101" s="7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35">
      <c r="A102" s="7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35">
      <c r="A103" s="7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35">
      <c r="A104" s="7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35">
      <c r="A105" s="7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35">
      <c r="A106" s="7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35">
      <c r="A107" s="7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35">
      <c r="A108" s="7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35">
      <c r="A109" s="7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35">
      <c r="A110" s="7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35">
      <c r="A111" s="7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35">
      <c r="A112" s="7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35">
      <c r="A113" s="7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35">
      <c r="A114" s="7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35">
      <c r="A115" s="7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35">
      <c r="A116" s="7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35">
      <c r="A117" s="7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35">
      <c r="A118" s="7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35">
      <c r="A119" s="7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35">
      <c r="A120" s="7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35">
      <c r="A121" s="7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35">
      <c r="A122" s="7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35">
      <c r="A123" s="7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35">
      <c r="A124" s="7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35">
      <c r="A125" s="7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35">
      <c r="A126" s="7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35">
      <c r="A127" s="7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35">
      <c r="A128" s="7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35">
      <c r="A129" s="7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35">
      <c r="A130" s="7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35">
      <c r="A131" s="7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35">
      <c r="A132" s="7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35">
      <c r="A133" s="7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35">
      <c r="A134" s="7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35">
      <c r="A135" s="7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35">
      <c r="A136" s="7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35">
      <c r="A137" s="7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35">
      <c r="A138" s="7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35">
      <c r="A139" s="7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35">
      <c r="A140" s="7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35">
      <c r="A141" s="7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35">
      <c r="A142" s="7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35">
      <c r="A143" s="7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35">
      <c r="A144" s="7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35">
      <c r="A145" s="7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35">
      <c r="A146" s="7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35">
      <c r="A147" s="7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35">
      <c r="A148" s="7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35">
      <c r="A149" s="7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35">
      <c r="A150" s="7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35">
      <c r="A151" s="7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35">
      <c r="A152" s="7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35">
      <c r="A153" s="7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35">
      <c r="A154" s="7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35">
      <c r="A155" s="7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35">
      <c r="A156" s="7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35">
      <c r="A157" s="7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35">
      <c r="A158" s="7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35">
      <c r="A159" s="7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35">
      <c r="A160" s="7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35">
      <c r="A161" s="7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35">
      <c r="A162" s="7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35">
      <c r="A163" s="7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35">
      <c r="A164" s="7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35">
      <c r="A165" s="7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35">
      <c r="A166" s="7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35">
      <c r="A167" s="7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35">
      <c r="A168" s="7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35">
      <c r="A169" s="7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35">
      <c r="A170" s="7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35">
      <c r="A171" s="7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35">
      <c r="A172" s="7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35">
      <c r="A173" s="7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35">
      <c r="A174" s="7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35">
      <c r="A175" s="7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35">
      <c r="A176" s="7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35">
      <c r="A177" s="7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35">
      <c r="A178" s="7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35">
      <c r="A179" s="7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35">
      <c r="A180" s="7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35">
      <c r="A181" s="7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35">
      <c r="A182" s="7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35">
      <c r="A183" s="7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35">
      <c r="A184" s="7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35">
      <c r="A185" s="7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35">
      <c r="A186" s="7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35">
      <c r="A187" s="7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35">
      <c r="A188" s="7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35">
      <c r="A189" s="7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35">
      <c r="A190" s="7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35">
      <c r="A191" s="7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35">
      <c r="A192" s="7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35">
      <c r="A193" s="7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35">
      <c r="A194" s="7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35">
      <c r="A195" s="7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35">
      <c r="A196" s="7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35">
      <c r="A197" s="7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35">
      <c r="A198" s="7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35">
      <c r="A199" s="7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35">
      <c r="A200" s="7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35">
      <c r="A201" s="7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35">
      <c r="A202" s="7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35">
      <c r="A203" s="7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35">
      <c r="A204" s="7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35">
      <c r="A205" s="7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35">
      <c r="A206" s="7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35">
      <c r="A207" s="7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35">
      <c r="A208" s="7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35">
      <c r="A209" s="7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35">
      <c r="A210" s="7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35">
      <c r="A211" s="7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35">
      <c r="A212" s="7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35">
      <c r="A213" s="7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35">
      <c r="A214" s="7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35">
      <c r="A215" s="7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35">
      <c r="A216" s="7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35">
      <c r="A217" s="7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35">
      <c r="A218" s="7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35">
      <c r="A219" s="7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35">
      <c r="A220" s="7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35">
      <c r="A221" s="7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35">
      <c r="A222" s="7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35">
      <c r="A223" s="7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35">
      <c r="A224" s="7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35">
      <c r="A225" s="7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35">
      <c r="A226" s="7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35">
      <c r="A227" s="7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35">
      <c r="A228" s="7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35">
      <c r="A229" s="7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35">
      <c r="A230" s="7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35">
      <c r="A231" s="7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35">
      <c r="A232" s="7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35">
      <c r="A233" s="7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35">
      <c r="A234" s="7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35">
      <c r="A235" s="7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35">
      <c r="A236" s="7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35">
      <c r="A237" s="7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35">
      <c r="A238" s="7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35">
      <c r="A239" s="7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35">
      <c r="A240" s="7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35">
      <c r="A241" s="7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35">
      <c r="A242" s="7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35">
      <c r="A243" s="7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35">
      <c r="A244" s="7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35">
      <c r="A245" s="7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35">
      <c r="A246" s="7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35">
      <c r="A247" s="7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35">
      <c r="A248" s="7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35">
      <c r="A249" s="7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35">
      <c r="A250" s="7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35">
      <c r="A251" s="7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35">
      <c r="A252" s="7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35">
      <c r="A253" s="7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35">
      <c r="A254" s="7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35">
      <c r="A255" s="7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35">
      <c r="A256" s="7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35">
      <c r="A257" s="7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35">
      <c r="A258" s="7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35">
      <c r="A259" s="7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35">
      <c r="A260" s="7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35">
      <c r="A261" s="7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35">
      <c r="A262" s="7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35">
      <c r="A263" s="7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35">
      <c r="A264" s="7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35">
      <c r="A265" s="7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35">
      <c r="A266" s="7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35">
      <c r="A267" s="7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35">
      <c r="A268" s="7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35">
      <c r="A269" s="7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35">
      <c r="A270" s="7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35">
      <c r="A271" s="7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35">
      <c r="A272" s="7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35">
      <c r="A273" s="7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35">
      <c r="A274" s="7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35">
      <c r="A275" s="7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35">
      <c r="A276" s="7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35">
      <c r="A277" s="7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35">
      <c r="A278" s="7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35">
      <c r="A279" s="7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35">
      <c r="A280" s="7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35">
      <c r="A281" s="7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35">
      <c r="A282" s="7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35">
      <c r="A283" s="7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35">
      <c r="A284" s="7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35">
      <c r="A285" s="7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35">
      <c r="A286" s="7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35">
      <c r="A287" s="7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35">
      <c r="A288" s="7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35">
      <c r="A289" s="7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35">
      <c r="A290" s="7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35">
      <c r="A291" s="7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35">
      <c r="A292" s="7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35">
      <c r="A293" s="7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35">
      <c r="A294" s="7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35">
      <c r="A295" s="7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35">
      <c r="A296" s="7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35">
      <c r="A297" s="7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35">
      <c r="A298" s="7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35">
      <c r="A299" s="7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35">
      <c r="A300" s="7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35">
      <c r="A301" s="7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35">
      <c r="A302" s="7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35">
      <c r="A303" s="7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35">
      <c r="A304" s="7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35">
      <c r="A305" s="7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35">
      <c r="A306" s="7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35">
      <c r="A307" s="7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35">
      <c r="A308" s="7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35">
      <c r="A309" s="7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35">
      <c r="A310" s="7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35">
      <c r="A311" s="7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35">
      <c r="A312" s="7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35">
      <c r="A313" s="7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35">
      <c r="A314" s="7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35">
      <c r="A315" s="7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35">
      <c r="A316" s="7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35">
      <c r="A317" s="7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35">
      <c r="A318" s="7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35">
      <c r="A319" s="7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35">
      <c r="A320" s="7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35">
      <c r="A321" s="7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35">
      <c r="A322" s="7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35">
      <c r="A323" s="7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35">
      <c r="A324" s="7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35">
      <c r="A325" s="7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35">
      <c r="A326" s="7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35">
      <c r="A327" s="7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35">
      <c r="A328" s="7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35">
      <c r="A329" s="7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35">
      <c r="A330" s="7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35">
      <c r="A331" s="7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35">
      <c r="A332" s="7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35">
      <c r="A333" s="7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35">
      <c r="A334" s="7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35">
      <c r="A335" s="7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35">
      <c r="A336" s="7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35">
      <c r="A337" s="7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35">
      <c r="A338" s="7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35">
      <c r="A339" s="7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35">
      <c r="A340" s="7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35">
      <c r="A341" s="7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35">
      <c r="A342" s="7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35">
      <c r="A343" s="7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35">
      <c r="A344" s="7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35">
      <c r="A345" s="7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35">
      <c r="A346" s="7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35">
      <c r="A347" s="7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35">
      <c r="A348" s="7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35">
      <c r="A349" s="7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35">
      <c r="A350" s="7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35">
      <c r="A351" s="7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35">
      <c r="A352" s="7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35">
      <c r="A353" s="7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35">
      <c r="A354" s="7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35">
      <c r="A355" s="7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35">
      <c r="A356" s="7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35">
      <c r="A357" s="7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35">
      <c r="A358" s="7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35">
      <c r="A359" s="7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35">
      <c r="A360" s="7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35">
      <c r="A361" s="7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35">
      <c r="A362" s="7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35">
      <c r="A363" s="7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35">
      <c r="A364" s="7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35">
      <c r="A365" s="7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35">
      <c r="A366" s="7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35">
      <c r="A367" s="7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35">
      <c r="A368" s="7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35">
      <c r="A369" s="7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35">
      <c r="A370" s="7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35">
      <c r="A371" s="7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35">
      <c r="A372" s="7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35">
      <c r="A373" s="7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35">
      <c r="A374" s="7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35">
      <c r="A375" s="7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35">
      <c r="A376" s="7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35">
      <c r="A377" s="7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35">
      <c r="A378" s="7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35">
      <c r="A379" s="7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35">
      <c r="A380" s="7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35">
      <c r="A381" s="7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35">
      <c r="A382" s="7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35">
      <c r="A383" s="7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35">
      <c r="A384" s="7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35">
      <c r="A385" s="7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35">
      <c r="A386" s="7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35">
      <c r="A387" s="7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35">
      <c r="A388" s="7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35">
      <c r="A389" s="7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35">
      <c r="A390" s="7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35">
      <c r="A391" s="7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35">
      <c r="A392" s="7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35">
      <c r="A393" s="7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35">
      <c r="A394" s="7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35">
      <c r="A395" s="7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35">
      <c r="A396" s="7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35">
      <c r="A397" s="7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35">
      <c r="A398" s="7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35">
      <c r="A399" s="7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35">
      <c r="A400" s="7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35">
      <c r="A401" s="7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35">
      <c r="A402" s="7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35">
      <c r="A403" s="7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35">
      <c r="A404" s="7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35">
      <c r="A405" s="7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35">
      <c r="A406" s="7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35">
      <c r="A407" s="7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35">
      <c r="A408" s="7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35">
      <c r="A409" s="7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35">
      <c r="A410" s="7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35">
      <c r="A411" s="7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35">
      <c r="A412" s="7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35">
      <c r="A413" s="7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35">
      <c r="A414" s="7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35">
      <c r="A415" s="7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35">
      <c r="A416" s="7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35">
      <c r="A417" s="7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35">
      <c r="A418" s="7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35">
      <c r="A419" s="7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35">
      <c r="A420" s="7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35">
      <c r="A421" s="7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35">
      <c r="A422" s="7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35">
      <c r="A423" s="7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35">
      <c r="A424" s="7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35">
      <c r="A425" s="7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35">
      <c r="A426" s="7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35">
      <c r="A427" s="7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35">
      <c r="A428" s="7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35">
      <c r="A429" s="7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35">
      <c r="A430" s="7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35">
      <c r="A431" s="7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35">
      <c r="A432" s="7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35">
      <c r="A433" s="7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35">
      <c r="A434" s="7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35">
      <c r="A435" s="7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35">
      <c r="A436" s="7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35">
      <c r="A437" s="7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35">
      <c r="A438" s="7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35">
      <c r="A439" s="7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35">
      <c r="A440" s="7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35">
      <c r="A441" s="7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35">
      <c r="A442" s="7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35">
      <c r="A443" s="7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35">
      <c r="A444" s="7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35">
      <c r="A445" s="7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35">
      <c r="A446" s="7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35">
      <c r="A447" s="7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35">
      <c r="A448" s="7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35">
      <c r="A449" s="7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35">
      <c r="A450" s="7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35">
      <c r="A451" s="7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35">
      <c r="A452" s="7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35">
      <c r="A453" s="7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35">
      <c r="A454" s="7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35">
      <c r="A455" s="7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35">
      <c r="A456" s="7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35">
      <c r="A457" s="7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35">
      <c r="A458" s="7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35">
      <c r="A459" s="7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35">
      <c r="A460" s="7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35">
      <c r="A461" s="7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35">
      <c r="A462" s="7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35">
      <c r="A463" s="7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35">
      <c r="A464" s="7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35">
      <c r="A465" s="7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35">
      <c r="A466" s="7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35">
      <c r="A467" s="7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35">
      <c r="A468" s="7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35">
      <c r="A469" s="7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35">
      <c r="A470" s="7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35">
      <c r="A471" s="7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35">
      <c r="A472" s="7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35">
      <c r="A473" s="7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35">
      <c r="A474" s="7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35">
      <c r="A475" s="7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35">
      <c r="A476" s="7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35">
      <c r="A477" s="7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35">
      <c r="A478" s="7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35">
      <c r="A479" s="7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35">
      <c r="A480" s="7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35">
      <c r="A481" s="7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35">
      <c r="A482" s="7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35">
      <c r="A483" s="7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35">
      <c r="A484" s="7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35">
      <c r="A485" s="7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35">
      <c r="A486" s="7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35">
      <c r="A487" s="7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35">
      <c r="A488" s="7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35">
      <c r="A489" s="7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35">
      <c r="A490" s="7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35">
      <c r="A491" s="7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35">
      <c r="A492" s="7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35">
      <c r="A493" s="7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35">
      <c r="A494" s="7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35">
      <c r="A495" s="7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35">
      <c r="A496" s="7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35">
      <c r="A497" s="7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35">
      <c r="A498" s="7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35">
      <c r="A499" s="7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35">
      <c r="A500" s="7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35">
      <c r="A501" s="7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35">
      <c r="A502" s="7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35">
      <c r="A503" s="7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35">
      <c r="A504" s="7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35">
      <c r="A505" s="7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35">
      <c r="A506" s="7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35">
      <c r="A507" s="7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35">
      <c r="A508" s="7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35">
      <c r="A509" s="7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35">
      <c r="A510" s="7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35">
      <c r="A511" s="7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35">
      <c r="A512" s="7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35">
      <c r="A513" s="7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35">
      <c r="A514" s="7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35">
      <c r="A515" s="7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35">
      <c r="A516" s="7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35">
      <c r="A517" s="7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35">
      <c r="A518" s="7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35">
      <c r="A519" s="7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35">
      <c r="A520" s="7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35">
      <c r="A521" s="7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35">
      <c r="A522" s="7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35">
      <c r="A523" s="7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35">
      <c r="A524" s="7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35">
      <c r="A525" s="7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35">
      <c r="A526" s="7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35">
      <c r="A527" s="7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35">
      <c r="A528" s="7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35">
      <c r="A529" s="7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35">
      <c r="A530" s="7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35">
      <c r="A531" s="7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35">
      <c r="A532" s="7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35">
      <c r="A533" s="7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35">
      <c r="A534" s="7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35">
      <c r="A535" s="7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35">
      <c r="A536" s="7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35">
      <c r="A537" s="7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35">
      <c r="A538" s="7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35">
      <c r="A539" s="7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35">
      <c r="A540" s="7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35">
      <c r="A541" s="7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35">
      <c r="A542" s="7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35">
      <c r="A543" s="7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35">
      <c r="A544" s="7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35">
      <c r="A545" s="7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35">
      <c r="A546" s="7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35">
      <c r="A547" s="7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35">
      <c r="A548" s="7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35">
      <c r="A549" s="7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35">
      <c r="A550" s="7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35">
      <c r="A551" s="7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35">
      <c r="A552" s="7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35">
      <c r="A553" s="7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35">
      <c r="A554" s="7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35">
      <c r="A555" s="7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35">
      <c r="A556" s="7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35">
      <c r="A557" s="7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35">
      <c r="A558" s="7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35">
      <c r="A559" s="7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35">
      <c r="A560" s="7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35">
      <c r="A561" s="7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35">
      <c r="A562" s="7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35">
      <c r="A563" s="7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35">
      <c r="A564" s="7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35">
      <c r="A565" s="7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35">
      <c r="A566" s="7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35">
      <c r="A567" s="7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35">
      <c r="A568" s="7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35">
      <c r="A569" s="7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35">
      <c r="A570" s="7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35">
      <c r="A571" s="7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35">
      <c r="A572" s="7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35">
      <c r="A573" s="7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35">
      <c r="A574" s="7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35">
      <c r="A575" s="7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35">
      <c r="A576" s="7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35">
      <c r="A577" s="7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35">
      <c r="A578" s="7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35">
      <c r="A579" s="7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35">
      <c r="A580" s="7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35">
      <c r="A581" s="7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35">
      <c r="A582" s="7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35">
      <c r="A583" s="7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35">
      <c r="A584" s="7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35">
      <c r="A585" s="7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35">
      <c r="A586" s="7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35">
      <c r="A587" s="7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35">
      <c r="A588" s="7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35">
      <c r="A589" s="7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35">
      <c r="A590" s="7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35">
      <c r="A591" s="7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35">
      <c r="A592" s="7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35">
      <c r="A593" s="7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35">
      <c r="A594" s="7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35">
      <c r="A595" s="7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35">
      <c r="A596" s="7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35">
      <c r="A597" s="7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35">
      <c r="A598" s="7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35">
      <c r="A599" s="7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35">
      <c r="A600" s="7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35">
      <c r="A601" s="7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35">
      <c r="A602" s="7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35">
      <c r="A603" s="7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35">
      <c r="A604" s="7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35">
      <c r="A605" s="7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35">
      <c r="A606" s="7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35">
      <c r="A607" s="7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35">
      <c r="A608" s="7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35">
      <c r="A609" s="7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35">
      <c r="A610" s="7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35">
      <c r="A611" s="7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35">
      <c r="A612" s="7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35">
      <c r="A613" s="7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35">
      <c r="A614" s="7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35">
      <c r="A615" s="7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35">
      <c r="A616" s="7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35">
      <c r="A617" s="7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35">
      <c r="A618" s="7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35">
      <c r="A619" s="7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35">
      <c r="A620" s="7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35">
      <c r="A621" s="7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35">
      <c r="A622" s="7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35">
      <c r="A623" s="7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35">
      <c r="A624" s="7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35">
      <c r="A625" s="7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35">
      <c r="A626" s="7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35">
      <c r="A627" s="7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35">
      <c r="A628" s="7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35">
      <c r="A629" s="7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35">
      <c r="A630" s="7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35">
      <c r="A631" s="7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35">
      <c r="A632" s="7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35">
      <c r="A633" s="7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35">
      <c r="A634" s="7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35">
      <c r="A635" s="7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35">
      <c r="A636" s="7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35">
      <c r="A637" s="7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35">
      <c r="A638" s="7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35">
      <c r="A639" s="7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35">
      <c r="A640" s="7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35">
      <c r="A641" s="7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35">
      <c r="A642" s="7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35">
      <c r="A643" s="7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35">
      <c r="A644" s="7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35">
      <c r="A645" s="7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35">
      <c r="A646" s="7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35">
      <c r="A647" s="7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35">
      <c r="A648" s="7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35">
      <c r="A649" s="7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35">
      <c r="A650" s="7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35">
      <c r="A651" s="7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35">
      <c r="A652" s="7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35">
      <c r="A653" s="7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35">
      <c r="A654" s="7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35">
      <c r="A655" s="7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35">
      <c r="A656" s="7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35">
      <c r="A657" s="7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35">
      <c r="A658" s="7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35">
      <c r="A659" s="7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35">
      <c r="A660" s="7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35">
      <c r="A661" s="7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35">
      <c r="A662" s="7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35">
      <c r="A663" s="7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35">
      <c r="A664" s="7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35">
      <c r="A665" s="7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35">
      <c r="A666" s="7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35">
      <c r="A667" s="7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35">
      <c r="A668" s="7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35">
      <c r="A669" s="7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35">
      <c r="A670" s="7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35">
      <c r="A671" s="7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35">
      <c r="A672" s="7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35">
      <c r="A673" s="7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35">
      <c r="A674" s="7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35">
      <c r="A675" s="7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35">
      <c r="A676" s="7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35">
      <c r="A677" s="7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35">
      <c r="A678" s="7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35">
      <c r="A679" s="7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35">
      <c r="A680" s="7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35">
      <c r="A681" s="7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35">
      <c r="A682" s="7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35">
      <c r="A683" s="7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35">
      <c r="A684" s="7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35">
      <c r="A685" s="7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35">
      <c r="A686" s="7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35">
      <c r="A687" s="7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35">
      <c r="A688" s="7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35">
      <c r="A689" s="7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35">
      <c r="A690" s="7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35">
      <c r="A691" s="7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35">
      <c r="A692" s="7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35">
      <c r="A693" s="7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35">
      <c r="A694" s="7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35">
      <c r="A695" s="7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35">
      <c r="A696" s="7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35">
      <c r="A697" s="7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35">
      <c r="A698" s="7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35">
      <c r="A699" s="7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35">
      <c r="A700" s="7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35">
      <c r="A701" s="7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35">
      <c r="A702" s="7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35">
      <c r="A703" s="7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35">
      <c r="A704" s="7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35">
      <c r="A705" s="7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35">
      <c r="A706" s="7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35">
      <c r="A707" s="7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35">
      <c r="A708" s="7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35">
      <c r="A709" s="7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35">
      <c r="A710" s="7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35">
      <c r="A711" s="7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35">
      <c r="A712" s="7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35">
      <c r="A713" s="7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35">
      <c r="A714" s="7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35">
      <c r="A715" s="7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35">
      <c r="A716" s="7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35">
      <c r="A717" s="7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35">
      <c r="A718" s="7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35">
      <c r="A719" s="7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35">
      <c r="A720" s="7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35">
      <c r="A721" s="7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35">
      <c r="A722" s="7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35">
      <c r="A723" s="7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35">
      <c r="A724" s="7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35">
      <c r="A725" s="7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35">
      <c r="A726" s="7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35">
      <c r="A727" s="7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35">
      <c r="A728" s="7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35">
      <c r="A729" s="7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35">
      <c r="A730" s="7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35">
      <c r="A731" s="7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35">
      <c r="A732" s="7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35">
      <c r="A733" s="7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35">
      <c r="A734" s="7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35">
      <c r="A735" s="7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35">
      <c r="A736" s="7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35">
      <c r="A737" s="7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35">
      <c r="A738" s="7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35">
      <c r="A739" s="7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35">
      <c r="A740" s="7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35">
      <c r="A741" s="7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35">
      <c r="A742" s="7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35">
      <c r="A743" s="7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35">
      <c r="A744" s="7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35">
      <c r="A745" s="7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35">
      <c r="A746" s="7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35">
      <c r="A747" s="7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35">
      <c r="A748" s="7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35">
      <c r="A749" s="7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35">
      <c r="A750" s="7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35">
      <c r="A751" s="7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35">
      <c r="A752" s="7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35">
      <c r="A753" s="7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35">
      <c r="A754" s="7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35">
      <c r="A755" s="7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35">
      <c r="A756" s="7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35">
      <c r="A757" s="7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35">
      <c r="A758" s="7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35">
      <c r="A759" s="7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35">
      <c r="A760" s="7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35">
      <c r="A761" s="7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35">
      <c r="A762" s="7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35">
      <c r="A763" s="7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35">
      <c r="A764" s="7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35">
      <c r="A765" s="7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35">
      <c r="A766" s="7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35">
      <c r="A767" s="7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35">
      <c r="A768" s="7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35">
      <c r="A769" s="7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35">
      <c r="A770" s="7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35">
      <c r="A771" s="7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35">
      <c r="A772" s="7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35">
      <c r="A773" s="7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35">
      <c r="A774" s="7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35">
      <c r="A775" s="7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35">
      <c r="A776" s="7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35">
      <c r="A777" s="7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35">
      <c r="A778" s="7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35">
      <c r="A779" s="7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35">
      <c r="A780" s="7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35">
      <c r="A781" s="7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35">
      <c r="A782" s="7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35">
      <c r="A783" s="7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35">
      <c r="A784" s="7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35">
      <c r="A785" s="7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35">
      <c r="A786" s="7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35">
      <c r="A787" s="7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35">
      <c r="A788" s="7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35">
      <c r="A789" s="7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35">
      <c r="A790" s="7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35">
      <c r="A791" s="7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35">
      <c r="A792" s="7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35">
      <c r="A793" s="7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35">
      <c r="A794" s="7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35">
      <c r="A795" s="7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35">
      <c r="A796" s="7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35">
      <c r="A797" s="7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35">
      <c r="A798" s="7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35">
      <c r="A799" s="7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35">
      <c r="A800" s="7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35">
      <c r="A801" s="7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35">
      <c r="A802" s="7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35">
      <c r="A803" s="7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35">
      <c r="A804" s="7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35">
      <c r="A805" s="7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35">
      <c r="A806" s="7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35">
      <c r="A807" s="7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35">
      <c r="A808" s="7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35">
      <c r="A809" s="7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35">
      <c r="A810" s="7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35">
      <c r="A811" s="7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35">
      <c r="A812" s="7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35">
      <c r="A813" s="7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35">
      <c r="A814" s="7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35">
      <c r="A815" s="7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35">
      <c r="A816" s="7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35">
      <c r="A817" s="7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35">
      <c r="A818" s="7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35">
      <c r="A819" s="7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35">
      <c r="A820" s="7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35">
      <c r="A821" s="7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35">
      <c r="A822" s="7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35">
      <c r="A823" s="7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35">
      <c r="A824" s="7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35">
      <c r="A825" s="7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35">
      <c r="A826" s="7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35">
      <c r="A827" s="7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35">
      <c r="A828" s="7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35">
      <c r="A829" s="7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35">
      <c r="A830" s="7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35">
      <c r="A831" s="7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35">
      <c r="A832" s="7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35">
      <c r="A833" s="7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35">
      <c r="A834" s="7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35">
      <c r="A835" s="7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35">
      <c r="A836" s="7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35">
      <c r="A837" s="7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35">
      <c r="A838" s="7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35">
      <c r="A839" s="7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35">
      <c r="A840" s="7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35">
      <c r="A841" s="7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35">
      <c r="A842" s="7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35">
      <c r="A843" s="7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35">
      <c r="A844" s="7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35">
      <c r="A845" s="7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35">
      <c r="A846" s="7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35">
      <c r="A847" s="7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35">
      <c r="A848" s="7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35">
      <c r="A849" s="7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35">
      <c r="A850" s="7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35">
      <c r="A851" s="7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35">
      <c r="A852" s="7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35">
      <c r="A853" s="7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35">
      <c r="A854" s="7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35">
      <c r="A855" s="7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35">
      <c r="A856" s="7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35">
      <c r="A857" s="7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35">
      <c r="A858" s="7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35">
      <c r="A859" s="7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35">
      <c r="A860" s="7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35">
      <c r="A861" s="7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35">
      <c r="A862" s="7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35">
      <c r="A863" s="7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35">
      <c r="A864" s="7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35">
      <c r="A865" s="7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35">
      <c r="A866" s="7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35">
      <c r="A867" s="7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35">
      <c r="A868" s="7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35">
      <c r="A869" s="7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35">
      <c r="A870" s="7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35">
      <c r="A871" s="7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35">
      <c r="A872" s="7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35">
      <c r="A873" s="7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35">
      <c r="A874" s="7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35">
      <c r="A875" s="7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35">
      <c r="A876" s="7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35">
      <c r="A877" s="7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35">
      <c r="A878" s="7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35">
      <c r="A879" s="7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35">
      <c r="A880" s="7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35">
      <c r="A881" s="7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35">
      <c r="A882" s="7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35">
      <c r="A883" s="7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35">
      <c r="A884" s="7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35">
      <c r="A885" s="7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35">
      <c r="A886" s="7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35">
      <c r="A887" s="7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35">
      <c r="A888" s="7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35">
      <c r="A889" s="7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35">
      <c r="A890" s="7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35">
      <c r="A891" s="7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35">
      <c r="A892" s="7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35">
      <c r="A893" s="7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35">
      <c r="A894" s="7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35">
      <c r="A895" s="7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35">
      <c r="A896" s="7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35">
      <c r="A897" s="7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35">
      <c r="A898" s="7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35">
      <c r="A899" s="7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35">
      <c r="A900" s="7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35">
      <c r="A901" s="7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35">
      <c r="A902" s="7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35">
      <c r="A903" s="7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35">
      <c r="A904" s="7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35">
      <c r="A905" s="7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35">
      <c r="A906" s="7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35">
      <c r="A907" s="7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35">
      <c r="A908" s="7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35">
      <c r="A909" s="7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35">
      <c r="A910" s="7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35">
      <c r="A911" s="7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35">
      <c r="A912" s="7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35">
      <c r="A913" s="7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35">
      <c r="A914" s="7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35">
      <c r="A915" s="7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35">
      <c r="A916" s="7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35">
      <c r="A917" s="7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35">
      <c r="A918" s="7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35">
      <c r="A919" s="7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35">
      <c r="A920" s="7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35">
      <c r="A921" s="7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35">
      <c r="A922" s="7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35">
      <c r="A923" s="7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35">
      <c r="A924" s="7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35">
      <c r="A925" s="7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35">
      <c r="A926" s="7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35">
      <c r="A927" s="7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35">
      <c r="A928" s="7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35">
      <c r="A929" s="7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35">
      <c r="A930" s="7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35">
      <c r="A931" s="7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35">
      <c r="A932" s="7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35">
      <c r="A933" s="7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35">
      <c r="A934" s="7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35">
      <c r="A935" s="7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35">
      <c r="A936" s="7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35">
      <c r="A937" s="7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35">
      <c r="A938" s="7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35">
      <c r="A939" s="7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35">
      <c r="A940" s="7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35">
      <c r="A941" s="7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35">
      <c r="A942" s="7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35">
      <c r="A943" s="7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35">
      <c r="A944" s="7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35">
      <c r="A945" s="7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35">
      <c r="A946" s="7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35">
      <c r="A947" s="7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35">
      <c r="A948" s="7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35">
      <c r="A949" s="7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35">
      <c r="A950" s="7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35">
      <c r="A951" s="7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35">
      <c r="A952" s="7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35">
      <c r="A953" s="7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35">
      <c r="A954" s="7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35">
      <c r="A955" s="7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35">
      <c r="A956" s="7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35">
      <c r="A957" s="7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35">
      <c r="A958" s="7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35">
      <c r="A959" s="7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35">
      <c r="A960" s="7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35">
      <c r="A961" s="7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35">
      <c r="A962" s="7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35">
      <c r="A963" s="7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35">
      <c r="A964" s="7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35">
      <c r="A965" s="7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35">
      <c r="A966" s="7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35">
      <c r="A967" s="7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35">
      <c r="A968" s="7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35">
      <c r="A969" s="7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35">
      <c r="A970" s="7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35">
      <c r="A971" s="7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35">
      <c r="A972" s="7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35">
      <c r="A973" s="7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35">
      <c r="A974" s="7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35">
      <c r="A975" s="7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35">
      <c r="A976" s="7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35">
      <c r="A977" s="7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35">
      <c r="A978" s="7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35">
      <c r="A979" s="7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35">
      <c r="A980" s="7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35">
      <c r="A981" s="7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35">
      <c r="A982" s="7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35">
      <c r="A983" s="7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35">
      <c r="A984" s="7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35">
      <c r="A985" s="7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35">
      <c r="A986" s="7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35">
      <c r="A987" s="7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35">
      <c r="A988" s="7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35">
      <c r="A989" s="7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35">
      <c r="A990" s="7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35">
      <c r="A991" s="7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35">
      <c r="A992" s="7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35">
      <c r="A993" s="7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35">
      <c r="A994" s="7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35">
      <c r="A995" s="7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35">
      <c r="A996" s="7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35">
      <c r="A997" s="7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35">
      <c r="A998" s="7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35">
      <c r="A999" s="7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x14ac:dyDescent="0.35">
      <c r="A1000" s="7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x14ac:dyDescent="0.35">
      <c r="A1001" s="7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x14ac:dyDescent="0.35">
      <c r="A1002" s="7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x14ac:dyDescent="0.35">
      <c r="A1003" s="7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</sheetData>
  <mergeCells count="1">
    <mergeCell ref="B1:E1"/>
  </mergeCells>
  <hyperlinks>
    <hyperlink ref="F16" r:id="rId1"/>
    <hyperlink ref="F17" r:id="rId2"/>
    <hyperlink ref="F19" r:id="rId3"/>
    <hyperlink ref="F26" r:id="rId4"/>
    <hyperlink ref="F25" r:id="rId5"/>
  </hyperlink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1004"/>
  <sheetViews>
    <sheetView workbookViewId="0">
      <pane ySplit="1" topLeftCell="A46" activePane="bottomLeft" state="frozen"/>
      <selection pane="bottomLeft" activeCell="B53" sqref="B53"/>
    </sheetView>
  </sheetViews>
  <sheetFormatPr defaultColWidth="15.1796875" defaultRowHeight="14.5" x14ac:dyDescent="0.35"/>
  <cols>
    <col min="1" max="1" width="4" customWidth="1"/>
    <col min="2" max="2" width="54.453125" customWidth="1"/>
    <col min="3" max="3" width="16.6328125" customWidth="1"/>
    <col min="4" max="4" width="28" customWidth="1"/>
    <col min="5" max="5" width="17.1796875" customWidth="1"/>
    <col min="6" max="6" width="16.1796875" customWidth="1"/>
    <col min="7" max="7" width="17.6328125" customWidth="1"/>
    <col min="8" max="17" width="6.6328125" customWidth="1"/>
    <col min="18" max="26" width="13.1796875" customWidth="1"/>
  </cols>
  <sheetData>
    <row r="1" spans="1:26" ht="15.5" x14ac:dyDescent="0.35">
      <c r="A1" s="93"/>
      <c r="B1" s="163" t="s">
        <v>686</v>
      </c>
      <c r="C1" s="164"/>
      <c r="D1" s="164"/>
      <c r="E1" s="164"/>
      <c r="F1" s="91"/>
      <c r="G1" s="9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5" x14ac:dyDescent="0.35">
      <c r="A2" s="93"/>
      <c r="B2" s="4"/>
      <c r="C2" s="94"/>
      <c r="D2" s="4"/>
      <c r="E2" s="4"/>
      <c r="F2" s="91"/>
      <c r="G2" s="9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8.5" x14ac:dyDescent="0.35">
      <c r="A3" s="6"/>
      <c r="B3" s="18" t="s">
        <v>0</v>
      </c>
      <c r="C3" s="18" t="s">
        <v>708</v>
      </c>
      <c r="D3" s="18" t="s">
        <v>1</v>
      </c>
      <c r="E3" s="18" t="s">
        <v>2</v>
      </c>
      <c r="F3" s="12" t="s">
        <v>707</v>
      </c>
      <c r="G3" s="12" t="s">
        <v>689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56.5" x14ac:dyDescent="0.35">
      <c r="A4" s="19">
        <v>1</v>
      </c>
      <c r="B4" s="19" t="s">
        <v>1413</v>
      </c>
      <c r="C4" s="19" t="s">
        <v>668</v>
      </c>
      <c r="D4" s="19" t="s">
        <v>1414</v>
      </c>
      <c r="E4" s="19" t="s">
        <v>599</v>
      </c>
      <c r="F4" s="20" t="str">
        <f>HYPERLINK("http://urfu.ru/ru/staff/vacancy/pps/","http://urfu.ru/ru/staff/vacancy/pps/")</f>
        <v>http://urfu.ru/ru/staff/vacancy/pps/</v>
      </c>
      <c r="G4" s="2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42.5" x14ac:dyDescent="0.35">
      <c r="A5" s="19">
        <v>2</v>
      </c>
      <c r="B5" s="19" t="s">
        <v>601</v>
      </c>
      <c r="C5" s="19" t="s">
        <v>690</v>
      </c>
      <c r="D5" s="19" t="s">
        <v>405</v>
      </c>
      <c r="E5" s="19" t="s">
        <v>599</v>
      </c>
      <c r="F5" s="20" t="str">
        <f>HYPERLINK("http://www.naumen.ru/career/vacancies/moscow/","http://www.naumen.ru/career/vacancies/moscow/")</f>
        <v>http://www.naumen.ru/career/vacancies/moscow/</v>
      </c>
      <c r="G5" s="20" t="str">
        <f>HYPERLINK("https://ekaterinburg.hh.ru/employer/42600","https://ekaterinburg.hh.ru/employer/42600")</f>
        <v>https://ekaterinburg.hh.ru/employer/42600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42.5" x14ac:dyDescent="0.35">
      <c r="A6" s="19">
        <v>3</v>
      </c>
      <c r="B6" s="19" t="s">
        <v>602</v>
      </c>
      <c r="C6" s="19" t="s">
        <v>692</v>
      </c>
      <c r="D6" s="19" t="s">
        <v>408</v>
      </c>
      <c r="E6" s="19" t="s">
        <v>599</v>
      </c>
      <c r="F6" s="20" t="str">
        <f>HYPERLINK("http://www.imet-uran.ru/imet_konk.htm","http://www.imet-uran.ru/imet_konk.htm")</f>
        <v>http://www.imet-uran.ru/imet_konk.htm</v>
      </c>
      <c r="G6" s="2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42.5" x14ac:dyDescent="0.35">
      <c r="A7" s="19">
        <v>4</v>
      </c>
      <c r="B7" s="19" t="s">
        <v>1415</v>
      </c>
      <c r="C7" s="19" t="s">
        <v>690</v>
      </c>
      <c r="D7" s="19" t="s">
        <v>1416</v>
      </c>
      <c r="E7" s="19" t="s">
        <v>599</v>
      </c>
      <c r="F7" s="20" t="str">
        <f>HYPERLINK("https://kontur.ru/about/contacts","https://kontur.ru/about/contacts")</f>
        <v>https://kontur.ru/about/contacts</v>
      </c>
      <c r="G7" s="20" t="str">
        <f>HYPERLINK("https://hh.ru/employer/41862","https://hh.ru/employer/41862")</f>
        <v>https://hh.ru/employer/41862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56.5" x14ac:dyDescent="0.35">
      <c r="A8" s="19">
        <v>5</v>
      </c>
      <c r="B8" s="19" t="s">
        <v>1417</v>
      </c>
      <c r="C8" s="19" t="s">
        <v>668</v>
      </c>
      <c r="D8" s="19" t="s">
        <v>1418</v>
      </c>
      <c r="E8" s="19" t="s">
        <v>599</v>
      </c>
      <c r="F8" s="20" t="str">
        <f>HYPERLINK("http://www.usma.ru/2157","http://www.usma.ru/2157")</f>
        <v>http://www.usma.ru/2157</v>
      </c>
      <c r="G8" s="25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42.5" x14ac:dyDescent="0.35">
      <c r="A9" s="19">
        <v>6</v>
      </c>
      <c r="B9" s="19" t="s">
        <v>603</v>
      </c>
      <c r="C9" s="19" t="s">
        <v>692</v>
      </c>
      <c r="D9" s="19" t="s">
        <v>416</v>
      </c>
      <c r="E9" s="19" t="s">
        <v>599</v>
      </c>
      <c r="F9" s="20" t="str">
        <f>HYPERLINK("http://wekt.ru/wekt/new/contacts","http://wekt.ru/wekt/new/contacts")</f>
        <v>http://wekt.ru/wekt/new/contacts</v>
      </c>
      <c r="G9" s="25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42.5" x14ac:dyDescent="0.35">
      <c r="A10" s="19">
        <v>7</v>
      </c>
      <c r="B10" s="19" t="s">
        <v>606</v>
      </c>
      <c r="C10" s="19" t="s">
        <v>692</v>
      </c>
      <c r="D10" s="19" t="s">
        <v>399</v>
      </c>
      <c r="E10" s="19" t="s">
        <v>599</v>
      </c>
      <c r="F10" s="20" t="str">
        <f>HYPERLINK("http://www.npoa.ru/job/","http://www.npoa.ru/job/")</f>
        <v>http://www.npoa.ru/job/</v>
      </c>
      <c r="G10" s="20" t="str">
        <f>HYPERLINK("https://hh.ru/employer/550666","https://hh.ru/employer/550666")</f>
        <v>https://hh.ru/employer/550666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70.5" x14ac:dyDescent="0.35">
      <c r="A11" s="19">
        <v>8</v>
      </c>
      <c r="B11" s="19" t="s">
        <v>608</v>
      </c>
      <c r="C11" s="19" t="s">
        <v>692</v>
      </c>
      <c r="D11" s="19" t="s">
        <v>418</v>
      </c>
      <c r="E11" s="19" t="s">
        <v>599</v>
      </c>
      <c r="F11" s="20" t="str">
        <f>HYPERLINK("http://vstisp.org/vstisp/index.php/2013-07-24-07-10-02/vacancies-science","http://vstisp.org/vstisp/index.php/2013-07-24-07-10-02/vacancies-science")</f>
        <v>http://vstisp.org/vstisp/index.php/2013-07-24-07-10-02/vacancies-science</v>
      </c>
      <c r="G11" s="2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8.5" x14ac:dyDescent="0.35">
      <c r="A12" s="19">
        <v>9</v>
      </c>
      <c r="B12" s="19" t="s">
        <v>610</v>
      </c>
      <c r="C12" s="19" t="s">
        <v>690</v>
      </c>
      <c r="D12" s="19" t="s">
        <v>421</v>
      </c>
      <c r="E12" s="19" t="s">
        <v>599</v>
      </c>
      <c r="F12" s="20" t="str">
        <f>HYPERLINK("http://www.uwca.ru/job/vacancies/","http://www.uwca.ru/job/vacancies/")</f>
        <v>http://www.uwca.ru/job/vacancies/</v>
      </c>
      <c r="G12" s="25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8.5" x14ac:dyDescent="0.35">
      <c r="A13" s="19">
        <v>10</v>
      </c>
      <c r="B13" s="19" t="s">
        <v>611</v>
      </c>
      <c r="C13" s="19" t="s">
        <v>690</v>
      </c>
      <c r="D13" s="19" t="s">
        <v>419</v>
      </c>
      <c r="E13" s="19" t="s">
        <v>599</v>
      </c>
      <c r="F13" s="95" t="s">
        <v>1421</v>
      </c>
      <c r="G13" s="50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84.5" x14ac:dyDescent="0.35">
      <c r="A14" s="19">
        <v>11</v>
      </c>
      <c r="B14" s="19" t="s">
        <v>612</v>
      </c>
      <c r="C14" s="19" t="s">
        <v>690</v>
      </c>
      <c r="D14" s="19" t="s">
        <v>402</v>
      </c>
      <c r="E14" s="19" t="s">
        <v>599</v>
      </c>
      <c r="F14" s="20" t="str">
        <f>HYPERLINK("http://shvabe.com/about/company/uralskiy-optiko-mekhanicheskiy-zavod/kontakty-uomz/","http://shvabe.com/about/company/uralskiy-optiko-mekhanicheskiy-zavod/kontakty-uomz/")</f>
        <v>http://shvabe.com/about/company/uralskiy-optiko-mekhanicheskiy-zavod/kontakty-uomz/</v>
      </c>
      <c r="G14" s="25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2.5" x14ac:dyDescent="0.35">
      <c r="A15" s="19">
        <v>12</v>
      </c>
      <c r="B15" s="19" t="s">
        <v>613</v>
      </c>
      <c r="C15" s="19" t="s">
        <v>692</v>
      </c>
      <c r="D15" s="19" t="s">
        <v>412</v>
      </c>
      <c r="E15" s="19" t="s">
        <v>599</v>
      </c>
      <c r="F15" s="20" t="str">
        <f>HYPERLINK("https://ipae.uran.ru/information/contacts","https://ipae.uran.ru/information/contacts")</f>
        <v>https://ipae.uran.ru/information/contacts</v>
      </c>
      <c r="G15" s="25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2.5" x14ac:dyDescent="0.35">
      <c r="A16" s="19">
        <v>13</v>
      </c>
      <c r="B16" s="19" t="s">
        <v>614</v>
      </c>
      <c r="C16" s="19" t="s">
        <v>668</v>
      </c>
      <c r="D16" s="19" t="s">
        <v>397</v>
      </c>
      <c r="E16" s="19" t="s">
        <v>599</v>
      </c>
      <c r="F16" s="20" t="str">
        <f>HYPERLINK("http://work.ursmu.ru/","http://work.ursmu.ru/")</f>
        <v>http://work.ursmu.ru/</v>
      </c>
      <c r="G16" s="25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56.5" x14ac:dyDescent="0.35">
      <c r="A17" s="19">
        <v>14</v>
      </c>
      <c r="B17" s="19" t="s">
        <v>615</v>
      </c>
      <c r="C17" s="19" t="s">
        <v>692</v>
      </c>
      <c r="D17" s="19" t="s">
        <v>407</v>
      </c>
      <c r="E17" s="19" t="s">
        <v>599</v>
      </c>
      <c r="F17" s="20" t="str">
        <f>HYPERLINK("http://www.ihte.uran.ru/?page_id=6158","http://www.ihte.uran.ru/?page_id=6158")</f>
        <v>http://www.ihte.uran.ru/?page_id=6158</v>
      </c>
      <c r="G17" s="25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8.5" x14ac:dyDescent="0.35">
      <c r="A18" s="19">
        <v>15</v>
      </c>
      <c r="B18" s="19" t="s">
        <v>616</v>
      </c>
      <c r="C18" s="19" t="s">
        <v>692</v>
      </c>
      <c r="D18" s="19" t="s">
        <v>415</v>
      </c>
      <c r="E18" s="19" t="s">
        <v>599</v>
      </c>
      <c r="F18" s="20" t="str">
        <f>HYPERLINK("http://www.ifp.uran.ru/about/rec/","http://www.ifp.uran.ru/about/rec/")</f>
        <v>http://www.ifp.uran.ru/about/rec/</v>
      </c>
      <c r="G18" s="2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2.5" x14ac:dyDescent="0.35">
      <c r="A19" s="19">
        <v>16</v>
      </c>
      <c r="B19" s="19" t="s">
        <v>1429</v>
      </c>
      <c r="C19" s="19" t="s">
        <v>690</v>
      </c>
      <c r="D19" s="19" t="s">
        <v>1430</v>
      </c>
      <c r="E19" s="19" t="s">
        <v>599</v>
      </c>
      <c r="F19" s="20" t="str">
        <f>HYPERLINK("http://www.uvz.ru/company/v","http://www.uvz.ru/company/v")</f>
        <v>http://www.uvz.ru/company/v</v>
      </c>
      <c r="G19" s="20" t="str">
        <f>HYPERLINK("https://hh.ru/employer/734952","https://hh.ru/employer/734952")</f>
        <v>https://hh.ru/employer/734952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2.5" x14ac:dyDescent="0.35">
      <c r="A20" s="19">
        <v>17</v>
      </c>
      <c r="B20" s="19" t="s">
        <v>617</v>
      </c>
      <c r="C20" s="19" t="s">
        <v>690</v>
      </c>
      <c r="D20" s="19" t="s">
        <v>393</v>
      </c>
      <c r="E20" s="19" t="s">
        <v>599</v>
      </c>
      <c r="F20" s="20" t="str">
        <f>HYPERLINK("http://www.rusal.ru/about/22/","http://www.rusal.ru/about/22/")</f>
        <v>http://www.rusal.ru/about/22/</v>
      </c>
      <c r="G20" s="25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2.5" x14ac:dyDescent="0.35">
      <c r="A21" s="19">
        <v>18</v>
      </c>
      <c r="B21" s="19" t="s">
        <v>618</v>
      </c>
      <c r="C21" s="19" t="s">
        <v>692</v>
      </c>
      <c r="D21" s="19" t="s">
        <v>619</v>
      </c>
      <c r="E21" s="19" t="s">
        <v>599</v>
      </c>
      <c r="F21" s="20" t="str">
        <f>HYPERLINK("http://www.e-z.ru/ru/contacts.php","http://www.e-z.ru/ru/contacts.php")</f>
        <v>http://www.e-z.ru/ru/contacts.php</v>
      </c>
      <c r="G21" s="25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8.5" x14ac:dyDescent="0.35">
      <c r="A22" s="19">
        <v>19</v>
      </c>
      <c r="B22" s="19" t="s">
        <v>620</v>
      </c>
      <c r="C22" s="19" t="s">
        <v>690</v>
      </c>
      <c r="D22" s="19" t="s">
        <v>390</v>
      </c>
      <c r="E22" s="19" t="s">
        <v>599</v>
      </c>
      <c r="F22" s="20" t="str">
        <f>HYPERLINK("http://www.aarz.ru/Vakansii","http://www.aarz.ru/Vakansii")</f>
        <v>http://www.aarz.ru/Vakansii</v>
      </c>
      <c r="G22" s="25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2.5" x14ac:dyDescent="0.35">
      <c r="A23" s="19">
        <v>20</v>
      </c>
      <c r="B23" s="19" t="s">
        <v>621</v>
      </c>
      <c r="C23" s="19" t="s">
        <v>690</v>
      </c>
      <c r="D23" s="19" t="s">
        <v>392</v>
      </c>
      <c r="E23" s="19" t="s">
        <v>599</v>
      </c>
      <c r="F23" s="20" t="str">
        <f>HYPERLINK("http://baz.rusal.ru/","http://baz.rusal.ru/")</f>
        <v>http://baz.rusal.ru/</v>
      </c>
      <c r="G23" s="25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2.5" x14ac:dyDescent="0.35">
      <c r="A24" s="19">
        <v>21</v>
      </c>
      <c r="B24" s="19" t="s">
        <v>622</v>
      </c>
      <c r="C24" s="19" t="s">
        <v>690</v>
      </c>
      <c r="D24" s="19" t="s">
        <v>391</v>
      </c>
      <c r="E24" s="19" t="s">
        <v>599</v>
      </c>
      <c r="F24" s="20" t="str">
        <f>HYPERLINK("http://www.uralstars.com/ex/subr/contact.htm","http://www.uralstars.com/ex/subr/contact.htm")</f>
        <v>http://www.uralstars.com/ex/subr/contact.htm</v>
      </c>
      <c r="G24" s="25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2.5" x14ac:dyDescent="0.35">
      <c r="A25" s="19">
        <v>22</v>
      </c>
      <c r="B25" s="19" t="s">
        <v>1433</v>
      </c>
      <c r="C25" s="19" t="s">
        <v>668</v>
      </c>
      <c r="D25" s="19" t="s">
        <v>1434</v>
      </c>
      <c r="E25" s="19" t="s">
        <v>639</v>
      </c>
      <c r="F25" s="20" t="str">
        <f>HYPERLINK("http://www.utmn.ru/karera/novosti/","http://www.utmn.ru/karera/novosti/")</f>
        <v>http://www.utmn.ru/karera/novosti/</v>
      </c>
      <c r="G25" s="20" t="str">
        <f>HYPERLINK("https://hh.ru/employer/1088373?customDomain=1","https://hh.ru/employer/1088373?customDomain=1")</f>
        <v>https://hh.ru/employer/1088373?customDomain=1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42.5" x14ac:dyDescent="0.35">
      <c r="A26" s="19">
        <v>23</v>
      </c>
      <c r="B26" s="19" t="s">
        <v>1435</v>
      </c>
      <c r="C26" s="19" t="s">
        <v>690</v>
      </c>
      <c r="D26" s="19" t="s">
        <v>1436</v>
      </c>
      <c r="E26" s="19" t="s">
        <v>639</v>
      </c>
      <c r="F26" s="20" t="str">
        <f>HYPERLINK("http://www.hms-neftemash.ru/kontakty/","http://www.hms-neftemash.ru/kontakty/")</f>
        <v>http://www.hms-neftemash.ru/kontakty/</v>
      </c>
      <c r="G26" s="25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56.5" x14ac:dyDescent="0.35">
      <c r="A27" s="19">
        <v>24</v>
      </c>
      <c r="B27" s="19" t="s">
        <v>1437</v>
      </c>
      <c r="C27" s="19" t="s">
        <v>668</v>
      </c>
      <c r="D27" s="19" t="s">
        <v>1438</v>
      </c>
      <c r="E27" s="19" t="s">
        <v>639</v>
      </c>
      <c r="F27" s="20" t="str">
        <f>HYPERLINK("http://www.tyumsmu.ru/kontaktyi.html","http://www.tyumsmu.ru/kontaktyi.html")</f>
        <v>http://www.tyumsmu.ru/kontaktyi.html</v>
      </c>
      <c r="G27" s="25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56.5" x14ac:dyDescent="0.35">
      <c r="A28" s="19">
        <v>25</v>
      </c>
      <c r="B28" s="19" t="s">
        <v>1439</v>
      </c>
      <c r="C28" s="19" t="s">
        <v>668</v>
      </c>
      <c r="D28" s="19" t="s">
        <v>1440</v>
      </c>
      <c r="E28" s="19" t="s">
        <v>639</v>
      </c>
      <c r="F28" s="20" t="str">
        <f>HYPERLINK("http://www.tyuiu.ru/vakansii/","http://www.tyuiu.ru/vakansii/")</f>
        <v>http://www.tyuiu.ru/vakansii/</v>
      </c>
      <c r="G28" s="25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70.5" x14ac:dyDescent="0.35">
      <c r="A29" s="19">
        <v>26</v>
      </c>
      <c r="B29" s="19" t="s">
        <v>1441</v>
      </c>
      <c r="C29" s="19" t="s">
        <v>690</v>
      </c>
      <c r="D29" s="19" t="s">
        <v>1442</v>
      </c>
      <c r="E29" s="19" t="s">
        <v>639</v>
      </c>
      <c r="F29" s="53" t="str">
        <f>HYPERLINK("http://career.sibur.ru/","http://career.sibur.ru/")</f>
        <v>http://career.sibur.ru/</v>
      </c>
      <c r="G29" s="53" t="str">
        <f>HYPERLINK("https://hh.ru/employer/3809#all_vac","https://hh.ru/employer/3809#all_vac")</f>
        <v>https://hh.ru/employer/3809#all_vac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56.5" x14ac:dyDescent="0.35">
      <c r="A30" s="19">
        <v>27</v>
      </c>
      <c r="B30" s="64" t="s">
        <v>1443</v>
      </c>
      <c r="C30" s="64" t="s">
        <v>692</v>
      </c>
      <c r="D30" s="64" t="s">
        <v>1444</v>
      </c>
      <c r="E30" s="64" t="s">
        <v>639</v>
      </c>
      <c r="F30" s="149" t="str">
        <f>HYPERLINK("http://www.uran.ru/node/2449","http://www.uran.ru/node/2449")</f>
        <v>http://www.uran.ru/node/2449</v>
      </c>
      <c r="G30" s="150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s="108" customFormat="1" ht="42.5" x14ac:dyDescent="0.35">
      <c r="A31" s="19">
        <v>28</v>
      </c>
      <c r="B31" s="115" t="s">
        <v>1642</v>
      </c>
      <c r="C31" s="115" t="s">
        <v>690</v>
      </c>
      <c r="D31" s="115" t="s">
        <v>1643</v>
      </c>
      <c r="E31" s="115" t="s">
        <v>639</v>
      </c>
      <c r="F31" s="131" t="s">
        <v>1644</v>
      </c>
      <c r="G31" s="131" t="s">
        <v>1645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42.5" x14ac:dyDescent="0.35">
      <c r="A32" s="19">
        <v>29</v>
      </c>
      <c r="B32" s="68" t="s">
        <v>643</v>
      </c>
      <c r="C32" s="68" t="s">
        <v>690</v>
      </c>
      <c r="D32" s="68" t="s">
        <v>644</v>
      </c>
      <c r="E32" s="68" t="s">
        <v>92</v>
      </c>
      <c r="F32" s="127" t="str">
        <f>HYPERLINK("http://www.skb-turbina.com/pers-policy/vakansii/","http://www.skb-turbina.com/pers-policy/vakansii/")</f>
        <v>http://www.skb-turbina.com/pers-policy/vakansii/</v>
      </c>
      <c r="G32" s="127" t="str">
        <f>HYPERLINK("https://hh.ru/employer/1751495","https://hh.ru/employer/1751495")</f>
        <v>https://hh.ru/employer/1751495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42.5" x14ac:dyDescent="0.35">
      <c r="A33" s="19">
        <v>30</v>
      </c>
      <c r="B33" s="19" t="s">
        <v>645</v>
      </c>
      <c r="C33" s="19" t="s">
        <v>690</v>
      </c>
      <c r="D33" s="19" t="s">
        <v>646</v>
      </c>
      <c r="E33" s="19" t="s">
        <v>92</v>
      </c>
      <c r="F33" s="20" t="str">
        <f>HYPERLINK("http://712arz.ru/company/vacancies.php","http://712arz.ru/company/vacancies.php")</f>
        <v>http://712arz.ru/company/vacancies.php</v>
      </c>
      <c r="G33" s="25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8.5" x14ac:dyDescent="0.35">
      <c r="A34" s="19">
        <v>31</v>
      </c>
      <c r="B34" s="19" t="s">
        <v>647</v>
      </c>
      <c r="C34" s="19" t="s">
        <v>690</v>
      </c>
      <c r="D34" s="19" t="s">
        <v>648</v>
      </c>
      <c r="E34" s="19" t="s">
        <v>92</v>
      </c>
      <c r="F34" s="20" t="str">
        <f>HYPERLINK("http://www.mechel.ru/contacts/","http://www.mechel.ru/contacts/")</f>
        <v>http://www.mechel.ru/contacts/</v>
      </c>
      <c r="G34" s="20" t="str">
        <f>HYPERLINK("https://hh.ru/employer/5416","https://hh.ru/employer/5416")</f>
        <v>https://hh.ru/employer/5416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56.5" x14ac:dyDescent="0.35">
      <c r="A35" s="19">
        <v>32</v>
      </c>
      <c r="B35" s="19" t="s">
        <v>1445</v>
      </c>
      <c r="C35" s="19" t="s">
        <v>668</v>
      </c>
      <c r="D35" s="19" t="s">
        <v>1446</v>
      </c>
      <c r="E35" s="19" t="s">
        <v>92</v>
      </c>
      <c r="F35" s="20" t="str">
        <f>HYPERLINK("http://www.susu.ru/ru/contacts","http://www.susu.ru/ru/contacts")</f>
        <v>http://www.susu.ru/ru/contacts</v>
      </c>
      <c r="G35" s="25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56.5" x14ac:dyDescent="0.35">
      <c r="A36" s="19">
        <v>33</v>
      </c>
      <c r="B36" s="19" t="s">
        <v>1447</v>
      </c>
      <c r="C36" s="19" t="s">
        <v>668</v>
      </c>
      <c r="D36" s="19" t="s">
        <v>1448</v>
      </c>
      <c r="E36" s="19" t="s">
        <v>92</v>
      </c>
      <c r="F36" s="20" t="str">
        <f>HYPERLINK("http://www.chelsma.ru/nodes/17408/","http://www.chelsma.ru/nodes/17408/")</f>
        <v>http://www.chelsma.ru/nodes/17408/</v>
      </c>
      <c r="G36" s="2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42.5" x14ac:dyDescent="0.35">
      <c r="A37" s="19">
        <v>34</v>
      </c>
      <c r="B37" s="19" t="s">
        <v>649</v>
      </c>
      <c r="C37" s="19" t="s">
        <v>690</v>
      </c>
      <c r="D37" s="19" t="s">
        <v>527</v>
      </c>
      <c r="E37" s="19" t="s">
        <v>92</v>
      </c>
      <c r="F37" s="20" t="str">
        <f>HYPERLINK("http://www.polyot.ru/about/41/?sphrase_id=917","http://www.polyot.ru/about/41/?sphrase_id=917")</f>
        <v>http://www.polyot.ru/about/41/?sphrase_id=917</v>
      </c>
      <c r="G37" s="2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42.5" x14ac:dyDescent="0.35">
      <c r="A38" s="19">
        <v>35</v>
      </c>
      <c r="B38" s="19" t="s">
        <v>650</v>
      </c>
      <c r="C38" s="19" t="s">
        <v>690</v>
      </c>
      <c r="D38" s="19" t="s">
        <v>651</v>
      </c>
      <c r="E38" s="19" t="s">
        <v>92</v>
      </c>
      <c r="F38" s="20" t="str">
        <f>HYPERLINK("http://www.priborplant.ru/ru/vacansion/vakansii","http://www.priborplant.ru/ru/vacansion/vakansii")</f>
        <v>http://www.priborplant.ru/ru/vacansion/vakansii</v>
      </c>
      <c r="G38" s="25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70.5" x14ac:dyDescent="0.35">
      <c r="A39" s="19">
        <v>36</v>
      </c>
      <c r="B39" s="19" t="s">
        <v>652</v>
      </c>
      <c r="C39" s="19" t="s">
        <v>690</v>
      </c>
      <c r="D39" s="19" t="s">
        <v>653</v>
      </c>
      <c r="E39" s="19" t="s">
        <v>92</v>
      </c>
      <c r="F39" s="20" t="str">
        <f>HYPERLINK("https://truba-detal.ru/company/vacancies/index.php?sphrase_id=2791","https://truba-detal.ru/company/vacancies/index.php?sphrase_id=2791")</f>
        <v>https://truba-detal.ru/company/vacancies/index.php?sphrase_id=2791</v>
      </c>
      <c r="G39" s="25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56.5" x14ac:dyDescent="0.35">
      <c r="A40" s="19">
        <v>37</v>
      </c>
      <c r="B40" s="19" t="s">
        <v>1449</v>
      </c>
      <c r="C40" s="19" t="s">
        <v>668</v>
      </c>
      <c r="D40" s="19" t="s">
        <v>1450</v>
      </c>
      <c r="E40" s="19" t="s">
        <v>92</v>
      </c>
      <c r="F40" s="20" t="str">
        <f>HYPERLINK("http://www.magtu.ru/novosti/vakansii.html","http://www.magtu.ru/novosti/vakansii.html")</f>
        <v>http://www.magtu.ru/novosti/vakansii.html</v>
      </c>
      <c r="G40" s="25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8.5" x14ac:dyDescent="0.35">
      <c r="A41" s="19">
        <v>38</v>
      </c>
      <c r="B41" s="19" t="s">
        <v>654</v>
      </c>
      <c r="C41" s="19" t="s">
        <v>690</v>
      </c>
      <c r="D41" s="19" t="s">
        <v>535</v>
      </c>
      <c r="E41" s="19" t="s">
        <v>92</v>
      </c>
      <c r="F41" s="20" t="str">
        <f>HYPERLINK("http://mmk-metiz.ru/contact/","http://mmk-metiz.ru/contact/")</f>
        <v>http://mmk-metiz.ru/contact/</v>
      </c>
      <c r="G41" s="25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8.5" x14ac:dyDescent="0.35">
      <c r="A42" s="19">
        <v>39</v>
      </c>
      <c r="B42" s="19" t="s">
        <v>655</v>
      </c>
      <c r="C42" s="19" t="s">
        <v>690</v>
      </c>
      <c r="D42" s="19" t="s">
        <v>533</v>
      </c>
      <c r="E42" s="19" t="s">
        <v>92</v>
      </c>
      <c r="F42" s="20" t="str">
        <f>HYPERLINK("http://makeyev.ru/contacts/","http://makeyev.ru/contacts/")</f>
        <v>http://makeyev.ru/contacts/</v>
      </c>
      <c r="G42" s="25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8.5" x14ac:dyDescent="0.35">
      <c r="A43" s="19">
        <v>40</v>
      </c>
      <c r="B43" s="19" t="s">
        <v>656</v>
      </c>
      <c r="C43" s="19" t="s">
        <v>690</v>
      </c>
      <c r="D43" s="19" t="s">
        <v>531</v>
      </c>
      <c r="E43" s="19" t="s">
        <v>92</v>
      </c>
      <c r="F43" s="20" t="str">
        <f>HYPERLINK("http://www.radiy.ru/Vakansii","http://www.radiy.ru/Vakansii")</f>
        <v>http://www.radiy.ru/Vakansii</v>
      </c>
      <c r="G43" s="25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42.5" x14ac:dyDescent="0.35">
      <c r="A44" s="19">
        <v>41</v>
      </c>
      <c r="B44" s="64" t="s">
        <v>657</v>
      </c>
      <c r="C44" s="64" t="s">
        <v>690</v>
      </c>
      <c r="D44" s="64" t="s">
        <v>528</v>
      </c>
      <c r="E44" s="64" t="s">
        <v>92</v>
      </c>
      <c r="F44" s="154" t="s">
        <v>1451</v>
      </c>
      <c r="G44" s="25"/>
      <c r="H44" s="24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s="108" customFormat="1" ht="42.5" x14ac:dyDescent="0.35">
      <c r="A45" s="19">
        <v>42</v>
      </c>
      <c r="B45" s="115" t="s">
        <v>1646</v>
      </c>
      <c r="C45" s="115" t="s">
        <v>690</v>
      </c>
      <c r="D45" s="115" t="s">
        <v>1647</v>
      </c>
      <c r="E45" s="115" t="s">
        <v>92</v>
      </c>
      <c r="F45" s="119"/>
      <c r="G45" s="151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s="108" customFormat="1" ht="42.5" x14ac:dyDescent="0.35">
      <c r="A46" s="19">
        <v>43</v>
      </c>
      <c r="B46" s="115" t="s">
        <v>1648</v>
      </c>
      <c r="C46" s="115" t="s">
        <v>690</v>
      </c>
      <c r="D46" s="115" t="s">
        <v>1649</v>
      </c>
      <c r="E46" s="115" t="s">
        <v>92</v>
      </c>
      <c r="F46" s="119"/>
      <c r="G46" s="151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42.5" x14ac:dyDescent="0.35">
      <c r="A47" s="19">
        <v>44</v>
      </c>
      <c r="B47" s="68" t="s">
        <v>1452</v>
      </c>
      <c r="C47" s="68" t="s">
        <v>690</v>
      </c>
      <c r="D47" s="68" t="s">
        <v>1453</v>
      </c>
      <c r="E47" s="68" t="s">
        <v>599</v>
      </c>
      <c r="F47" s="127" t="str">
        <f>HYPERLINK("https://stz.tmk-group.ru/stzvac","https://stz.tmk-group.ru/stzvac")</f>
        <v>https://stz.tmk-group.ru/stzvac</v>
      </c>
      <c r="G47" s="25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35">
      <c r="A48" s="70"/>
      <c r="B48" s="1"/>
      <c r="C48" s="70"/>
      <c r="D48" s="1"/>
      <c r="E48" s="1"/>
      <c r="F48" s="91"/>
      <c r="G48" s="91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35">
      <c r="A49" s="7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35">
      <c r="A50" s="7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35">
      <c r="A51" s="7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35">
      <c r="A52" s="7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35">
      <c r="A53" s="7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35">
      <c r="A54" s="7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35">
      <c r="A55" s="7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35">
      <c r="A56" s="7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35">
      <c r="A57" s="7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35">
      <c r="A58" s="7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35">
      <c r="A59" s="7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35">
      <c r="A60" s="7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35">
      <c r="A61" s="7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35">
      <c r="A62" s="7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35">
      <c r="A63" s="7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35">
      <c r="A64" s="7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35">
      <c r="A65" s="7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35">
      <c r="A66" s="7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35">
      <c r="A67" s="7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35">
      <c r="A68" s="7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35">
      <c r="A69" s="7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35">
      <c r="A70" s="7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35">
      <c r="A71" s="7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35">
      <c r="A72" s="7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35">
      <c r="A73" s="7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35">
      <c r="A74" s="7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35">
      <c r="A75" s="7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35">
      <c r="A76" s="7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35">
      <c r="A77" s="7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35">
      <c r="A78" s="7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35">
      <c r="A79" s="7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35">
      <c r="A80" s="7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35">
      <c r="A81" s="7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35">
      <c r="A82" s="7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35">
      <c r="A83" s="7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35">
      <c r="A84" s="7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35">
      <c r="A85" s="7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35">
      <c r="A86" s="7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35">
      <c r="A87" s="7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35">
      <c r="A88" s="7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35">
      <c r="A89" s="7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35">
      <c r="A90" s="7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35">
      <c r="A91" s="7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35">
      <c r="A92" s="7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35">
      <c r="A93" s="7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35">
      <c r="A94" s="7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35">
      <c r="A95" s="7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35">
      <c r="A96" s="7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35">
      <c r="A97" s="7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35">
      <c r="A98" s="7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35">
      <c r="A99" s="7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35">
      <c r="A100" s="7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35">
      <c r="A101" s="7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35">
      <c r="A102" s="7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35">
      <c r="A103" s="7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35">
      <c r="A104" s="7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35">
      <c r="A105" s="7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35">
      <c r="A106" s="7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35">
      <c r="A107" s="7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35">
      <c r="A108" s="7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35">
      <c r="A109" s="7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35">
      <c r="A110" s="7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35">
      <c r="A111" s="7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35">
      <c r="A112" s="7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35">
      <c r="A113" s="7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35">
      <c r="A114" s="7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35">
      <c r="A115" s="7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35">
      <c r="A116" s="7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35">
      <c r="A117" s="7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35">
      <c r="A118" s="7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35">
      <c r="A119" s="7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35">
      <c r="A120" s="7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35">
      <c r="A121" s="7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35">
      <c r="A122" s="7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35">
      <c r="A123" s="7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35">
      <c r="A124" s="7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35">
      <c r="A125" s="7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35">
      <c r="A126" s="7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35">
      <c r="A127" s="7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35">
      <c r="A128" s="7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35">
      <c r="A129" s="7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35">
      <c r="A130" s="7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35">
      <c r="A131" s="7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35">
      <c r="A132" s="7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35">
      <c r="A133" s="7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35">
      <c r="A134" s="7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35">
      <c r="A135" s="7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35">
      <c r="A136" s="7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35">
      <c r="A137" s="7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35">
      <c r="A138" s="7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35">
      <c r="A139" s="7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35">
      <c r="A140" s="7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35">
      <c r="A141" s="7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35">
      <c r="A142" s="7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35">
      <c r="A143" s="7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35">
      <c r="A144" s="7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35">
      <c r="A145" s="7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35">
      <c r="A146" s="7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35">
      <c r="A147" s="7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35">
      <c r="A148" s="7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35">
      <c r="A149" s="7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35">
      <c r="A150" s="7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35">
      <c r="A151" s="7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35">
      <c r="A152" s="7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35">
      <c r="A153" s="7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35">
      <c r="A154" s="7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35">
      <c r="A155" s="7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35">
      <c r="A156" s="7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35">
      <c r="A157" s="7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35">
      <c r="A158" s="7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35">
      <c r="A159" s="7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35">
      <c r="A160" s="7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35">
      <c r="A161" s="7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35">
      <c r="A162" s="7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35">
      <c r="A163" s="7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35">
      <c r="A164" s="7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35">
      <c r="A165" s="7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35">
      <c r="A166" s="7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35">
      <c r="A167" s="7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35">
      <c r="A168" s="7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35">
      <c r="A169" s="7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35">
      <c r="A170" s="7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35">
      <c r="A171" s="7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35">
      <c r="A172" s="7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35">
      <c r="A173" s="7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35">
      <c r="A174" s="7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35">
      <c r="A175" s="7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35">
      <c r="A176" s="7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35">
      <c r="A177" s="7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35">
      <c r="A178" s="7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35">
      <c r="A179" s="7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35">
      <c r="A180" s="7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35">
      <c r="A181" s="7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35">
      <c r="A182" s="7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35">
      <c r="A183" s="7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35">
      <c r="A184" s="7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35">
      <c r="A185" s="7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35">
      <c r="A186" s="7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35">
      <c r="A187" s="7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35">
      <c r="A188" s="7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35">
      <c r="A189" s="7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35">
      <c r="A190" s="7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35">
      <c r="A191" s="7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35">
      <c r="A192" s="7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35">
      <c r="A193" s="7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35">
      <c r="A194" s="7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35">
      <c r="A195" s="7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35">
      <c r="A196" s="7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35">
      <c r="A197" s="7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35">
      <c r="A198" s="7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35">
      <c r="A199" s="7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35">
      <c r="A200" s="7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35">
      <c r="A201" s="7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35">
      <c r="A202" s="7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35">
      <c r="A203" s="7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35">
      <c r="A204" s="7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35">
      <c r="A205" s="7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35">
      <c r="A206" s="7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35">
      <c r="A207" s="7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35">
      <c r="A208" s="7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35">
      <c r="A209" s="7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35">
      <c r="A210" s="7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35">
      <c r="A211" s="7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35">
      <c r="A212" s="7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35">
      <c r="A213" s="7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35">
      <c r="A214" s="7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35">
      <c r="A215" s="7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35">
      <c r="A216" s="7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35">
      <c r="A217" s="7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35">
      <c r="A218" s="7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35">
      <c r="A219" s="7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35">
      <c r="A220" s="7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35">
      <c r="A221" s="7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35">
      <c r="A222" s="7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35">
      <c r="A223" s="7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35">
      <c r="A224" s="7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35">
      <c r="A225" s="7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35">
      <c r="A226" s="7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35">
      <c r="A227" s="7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35">
      <c r="A228" s="7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35">
      <c r="A229" s="7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35">
      <c r="A230" s="7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35">
      <c r="A231" s="7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35">
      <c r="A232" s="7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35">
      <c r="A233" s="7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35">
      <c r="A234" s="7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35">
      <c r="A235" s="7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35">
      <c r="A236" s="7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35">
      <c r="A237" s="7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35">
      <c r="A238" s="7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35">
      <c r="A239" s="7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35">
      <c r="A240" s="7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35">
      <c r="A241" s="7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35">
      <c r="A242" s="7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35">
      <c r="A243" s="7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35">
      <c r="A244" s="7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35">
      <c r="A245" s="7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35">
      <c r="A246" s="7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35">
      <c r="A247" s="7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35">
      <c r="A248" s="7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35">
      <c r="A249" s="7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35">
      <c r="A250" s="7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35">
      <c r="A251" s="7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35">
      <c r="A252" s="7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35">
      <c r="A253" s="7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35">
      <c r="A254" s="7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35">
      <c r="A255" s="7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35">
      <c r="A256" s="7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35">
      <c r="A257" s="7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35">
      <c r="A258" s="7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35">
      <c r="A259" s="7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35">
      <c r="A260" s="7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35">
      <c r="A261" s="7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35">
      <c r="A262" s="7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35">
      <c r="A263" s="7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35">
      <c r="A264" s="7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35">
      <c r="A265" s="7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35">
      <c r="A266" s="7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35">
      <c r="A267" s="7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35">
      <c r="A268" s="7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35">
      <c r="A269" s="7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35">
      <c r="A270" s="7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35">
      <c r="A271" s="7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35">
      <c r="A272" s="7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35">
      <c r="A273" s="7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35">
      <c r="A274" s="7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35">
      <c r="A275" s="7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35">
      <c r="A276" s="7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35">
      <c r="A277" s="7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35">
      <c r="A278" s="7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35">
      <c r="A279" s="7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35">
      <c r="A280" s="7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35">
      <c r="A281" s="7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35">
      <c r="A282" s="7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35">
      <c r="A283" s="7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35">
      <c r="A284" s="7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35">
      <c r="A285" s="7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35">
      <c r="A286" s="7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35">
      <c r="A287" s="7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35">
      <c r="A288" s="7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35">
      <c r="A289" s="7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35">
      <c r="A290" s="7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35">
      <c r="A291" s="7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35">
      <c r="A292" s="7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35">
      <c r="A293" s="7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35">
      <c r="A294" s="7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35">
      <c r="A295" s="7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35">
      <c r="A296" s="7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35">
      <c r="A297" s="7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35">
      <c r="A298" s="7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35">
      <c r="A299" s="7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35">
      <c r="A300" s="7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35">
      <c r="A301" s="7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35">
      <c r="A302" s="7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35">
      <c r="A303" s="7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35">
      <c r="A304" s="7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35">
      <c r="A305" s="7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35">
      <c r="A306" s="7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35">
      <c r="A307" s="7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35">
      <c r="A308" s="7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35">
      <c r="A309" s="7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35">
      <c r="A310" s="7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35">
      <c r="A311" s="7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35">
      <c r="A312" s="7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35">
      <c r="A313" s="7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35">
      <c r="A314" s="7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35">
      <c r="A315" s="7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35">
      <c r="A316" s="7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35">
      <c r="A317" s="7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35">
      <c r="A318" s="7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35">
      <c r="A319" s="7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35">
      <c r="A320" s="7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35">
      <c r="A321" s="7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35">
      <c r="A322" s="7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35">
      <c r="A323" s="7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35">
      <c r="A324" s="7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35">
      <c r="A325" s="7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35">
      <c r="A326" s="7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35">
      <c r="A327" s="7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35">
      <c r="A328" s="7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35">
      <c r="A329" s="7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35">
      <c r="A330" s="7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35">
      <c r="A331" s="7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35">
      <c r="A332" s="7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35">
      <c r="A333" s="7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35">
      <c r="A334" s="7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35">
      <c r="A335" s="7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35">
      <c r="A336" s="7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35">
      <c r="A337" s="7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35">
      <c r="A338" s="7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35">
      <c r="A339" s="7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35">
      <c r="A340" s="7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35">
      <c r="A341" s="7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35">
      <c r="A342" s="7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35">
      <c r="A343" s="7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35">
      <c r="A344" s="7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35">
      <c r="A345" s="7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35">
      <c r="A346" s="7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35">
      <c r="A347" s="7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35">
      <c r="A348" s="7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35">
      <c r="A349" s="7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35">
      <c r="A350" s="7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35">
      <c r="A351" s="7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35">
      <c r="A352" s="7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35">
      <c r="A353" s="7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35">
      <c r="A354" s="7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35">
      <c r="A355" s="7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35">
      <c r="A356" s="7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35">
      <c r="A357" s="7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35">
      <c r="A358" s="7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35">
      <c r="A359" s="7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35">
      <c r="A360" s="7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35">
      <c r="A361" s="7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35">
      <c r="A362" s="7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35">
      <c r="A363" s="7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35">
      <c r="A364" s="7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35">
      <c r="A365" s="7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35">
      <c r="A366" s="7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35">
      <c r="A367" s="7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35">
      <c r="A368" s="7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35">
      <c r="A369" s="7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35">
      <c r="A370" s="7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35">
      <c r="A371" s="7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35">
      <c r="A372" s="7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35">
      <c r="A373" s="7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35">
      <c r="A374" s="7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35">
      <c r="A375" s="7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35">
      <c r="A376" s="7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35">
      <c r="A377" s="7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35">
      <c r="A378" s="7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35">
      <c r="A379" s="7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35">
      <c r="A380" s="7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35">
      <c r="A381" s="7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35">
      <c r="A382" s="7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35">
      <c r="A383" s="7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35">
      <c r="A384" s="7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35">
      <c r="A385" s="7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35">
      <c r="A386" s="7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35">
      <c r="A387" s="7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35">
      <c r="A388" s="7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35">
      <c r="A389" s="7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35">
      <c r="A390" s="7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35">
      <c r="A391" s="7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35">
      <c r="A392" s="7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35">
      <c r="A393" s="7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35">
      <c r="A394" s="7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35">
      <c r="A395" s="7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35">
      <c r="A396" s="7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35">
      <c r="A397" s="7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35">
      <c r="A398" s="7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35">
      <c r="A399" s="7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35">
      <c r="A400" s="7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35">
      <c r="A401" s="7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35">
      <c r="A402" s="7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35">
      <c r="A403" s="7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35">
      <c r="A404" s="7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35">
      <c r="A405" s="7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35">
      <c r="A406" s="7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35">
      <c r="A407" s="7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35">
      <c r="A408" s="7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35">
      <c r="A409" s="7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35">
      <c r="A410" s="7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35">
      <c r="A411" s="7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35">
      <c r="A412" s="7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35">
      <c r="A413" s="7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35">
      <c r="A414" s="7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35">
      <c r="A415" s="7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35">
      <c r="A416" s="7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35">
      <c r="A417" s="7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35">
      <c r="A418" s="7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35">
      <c r="A419" s="7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35">
      <c r="A420" s="7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35">
      <c r="A421" s="7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35">
      <c r="A422" s="7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35">
      <c r="A423" s="7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35">
      <c r="A424" s="7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35">
      <c r="A425" s="7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35">
      <c r="A426" s="7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35">
      <c r="A427" s="7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35">
      <c r="A428" s="7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35">
      <c r="A429" s="7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35">
      <c r="A430" s="7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35">
      <c r="A431" s="7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35">
      <c r="A432" s="7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35">
      <c r="A433" s="7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35">
      <c r="A434" s="7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35">
      <c r="A435" s="7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35">
      <c r="A436" s="7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35">
      <c r="A437" s="7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35">
      <c r="A438" s="7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35">
      <c r="A439" s="7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35">
      <c r="A440" s="7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35">
      <c r="A441" s="7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35">
      <c r="A442" s="7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35">
      <c r="A443" s="7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35">
      <c r="A444" s="7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35">
      <c r="A445" s="7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35">
      <c r="A446" s="7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35">
      <c r="A447" s="7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35">
      <c r="A448" s="7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35">
      <c r="A449" s="7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35">
      <c r="A450" s="7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35">
      <c r="A451" s="7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35">
      <c r="A452" s="7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35">
      <c r="A453" s="7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35">
      <c r="A454" s="7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35">
      <c r="A455" s="7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35">
      <c r="A456" s="7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35">
      <c r="A457" s="7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35">
      <c r="A458" s="7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35">
      <c r="A459" s="7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35">
      <c r="A460" s="7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35">
      <c r="A461" s="7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35">
      <c r="A462" s="7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35">
      <c r="A463" s="7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35">
      <c r="A464" s="7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35">
      <c r="A465" s="7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35">
      <c r="A466" s="7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35">
      <c r="A467" s="7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35">
      <c r="A468" s="7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35">
      <c r="A469" s="7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35">
      <c r="A470" s="7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35">
      <c r="A471" s="7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35">
      <c r="A472" s="7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35">
      <c r="A473" s="7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35">
      <c r="A474" s="7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35">
      <c r="A475" s="7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35">
      <c r="A476" s="7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35">
      <c r="A477" s="7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35">
      <c r="A478" s="7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35">
      <c r="A479" s="7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35">
      <c r="A480" s="7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35">
      <c r="A481" s="7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35">
      <c r="A482" s="7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35">
      <c r="A483" s="7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35">
      <c r="A484" s="7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35">
      <c r="A485" s="7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35">
      <c r="A486" s="7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35">
      <c r="A487" s="7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35">
      <c r="A488" s="7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35">
      <c r="A489" s="7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35">
      <c r="A490" s="7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35">
      <c r="A491" s="7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35">
      <c r="A492" s="7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35">
      <c r="A493" s="7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35">
      <c r="A494" s="7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35">
      <c r="A495" s="7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35">
      <c r="A496" s="7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35">
      <c r="A497" s="7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35">
      <c r="A498" s="7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35">
      <c r="A499" s="7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35">
      <c r="A500" s="7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35">
      <c r="A501" s="7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35">
      <c r="A502" s="7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35">
      <c r="A503" s="7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35">
      <c r="A504" s="7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35">
      <c r="A505" s="7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35">
      <c r="A506" s="7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35">
      <c r="A507" s="7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35">
      <c r="A508" s="7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35">
      <c r="A509" s="7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35">
      <c r="A510" s="7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35">
      <c r="A511" s="7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35">
      <c r="A512" s="7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35">
      <c r="A513" s="7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35">
      <c r="A514" s="7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35">
      <c r="A515" s="7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35">
      <c r="A516" s="7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35">
      <c r="A517" s="7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35">
      <c r="A518" s="7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35">
      <c r="A519" s="7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35">
      <c r="A520" s="7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35">
      <c r="A521" s="7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35">
      <c r="A522" s="7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35">
      <c r="A523" s="7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35">
      <c r="A524" s="7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35">
      <c r="A525" s="7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35">
      <c r="A526" s="7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35">
      <c r="A527" s="7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35">
      <c r="A528" s="7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35">
      <c r="A529" s="7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35">
      <c r="A530" s="7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35">
      <c r="A531" s="7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35">
      <c r="A532" s="7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35">
      <c r="A533" s="7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35">
      <c r="A534" s="7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35">
      <c r="A535" s="7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35">
      <c r="A536" s="7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35">
      <c r="A537" s="7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35">
      <c r="A538" s="7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35">
      <c r="A539" s="7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35">
      <c r="A540" s="7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35">
      <c r="A541" s="7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35">
      <c r="A542" s="7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35">
      <c r="A543" s="7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35">
      <c r="A544" s="7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35">
      <c r="A545" s="7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35">
      <c r="A546" s="7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35">
      <c r="A547" s="7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35">
      <c r="A548" s="7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35">
      <c r="A549" s="7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35">
      <c r="A550" s="7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35">
      <c r="A551" s="7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35">
      <c r="A552" s="7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35">
      <c r="A553" s="7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35">
      <c r="A554" s="7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35">
      <c r="A555" s="7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35">
      <c r="A556" s="7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35">
      <c r="A557" s="7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35">
      <c r="A558" s="7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35">
      <c r="A559" s="7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35">
      <c r="A560" s="7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35">
      <c r="A561" s="7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35">
      <c r="A562" s="7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35">
      <c r="A563" s="7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35">
      <c r="A564" s="7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35">
      <c r="A565" s="7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35">
      <c r="A566" s="7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35">
      <c r="A567" s="7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35">
      <c r="A568" s="7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35">
      <c r="A569" s="7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35">
      <c r="A570" s="7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35">
      <c r="A571" s="7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35">
      <c r="A572" s="7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35">
      <c r="A573" s="7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35">
      <c r="A574" s="7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35">
      <c r="A575" s="7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35">
      <c r="A576" s="7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35">
      <c r="A577" s="7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35">
      <c r="A578" s="7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35">
      <c r="A579" s="7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35">
      <c r="A580" s="7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35">
      <c r="A581" s="7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35">
      <c r="A582" s="7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35">
      <c r="A583" s="7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35">
      <c r="A584" s="7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35">
      <c r="A585" s="7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35">
      <c r="A586" s="7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35">
      <c r="A587" s="7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35">
      <c r="A588" s="7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35">
      <c r="A589" s="7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35">
      <c r="A590" s="7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35">
      <c r="A591" s="7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35">
      <c r="A592" s="7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35">
      <c r="A593" s="7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35">
      <c r="A594" s="7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35">
      <c r="A595" s="7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35">
      <c r="A596" s="7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35">
      <c r="A597" s="7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35">
      <c r="A598" s="7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35">
      <c r="A599" s="7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35">
      <c r="A600" s="7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35">
      <c r="A601" s="7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35">
      <c r="A602" s="7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35">
      <c r="A603" s="7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35">
      <c r="A604" s="7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35">
      <c r="A605" s="7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35">
      <c r="A606" s="7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35">
      <c r="A607" s="7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35">
      <c r="A608" s="7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35">
      <c r="A609" s="7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35">
      <c r="A610" s="7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35">
      <c r="A611" s="7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35">
      <c r="A612" s="7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35">
      <c r="A613" s="7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35">
      <c r="A614" s="7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35">
      <c r="A615" s="7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35">
      <c r="A616" s="7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35">
      <c r="A617" s="7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35">
      <c r="A618" s="7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35">
      <c r="A619" s="7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35">
      <c r="A620" s="7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35">
      <c r="A621" s="7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35">
      <c r="A622" s="7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35">
      <c r="A623" s="7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35">
      <c r="A624" s="7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35">
      <c r="A625" s="7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35">
      <c r="A626" s="7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35">
      <c r="A627" s="7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35">
      <c r="A628" s="7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35">
      <c r="A629" s="7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35">
      <c r="A630" s="7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35">
      <c r="A631" s="7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35">
      <c r="A632" s="7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35">
      <c r="A633" s="7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35">
      <c r="A634" s="7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35">
      <c r="A635" s="7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35">
      <c r="A636" s="7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35">
      <c r="A637" s="7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35">
      <c r="A638" s="7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35">
      <c r="A639" s="7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35">
      <c r="A640" s="7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35">
      <c r="A641" s="7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35">
      <c r="A642" s="7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35">
      <c r="A643" s="7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35">
      <c r="A644" s="7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35">
      <c r="A645" s="7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35">
      <c r="A646" s="7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35">
      <c r="A647" s="7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35">
      <c r="A648" s="7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35">
      <c r="A649" s="7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35">
      <c r="A650" s="7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35">
      <c r="A651" s="7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35">
      <c r="A652" s="7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35">
      <c r="A653" s="7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35">
      <c r="A654" s="7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35">
      <c r="A655" s="7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35">
      <c r="A656" s="7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35">
      <c r="A657" s="7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35">
      <c r="A658" s="7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35">
      <c r="A659" s="7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35">
      <c r="A660" s="7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35">
      <c r="A661" s="7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35">
      <c r="A662" s="7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35">
      <c r="A663" s="7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35">
      <c r="A664" s="7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35">
      <c r="A665" s="7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35">
      <c r="A666" s="7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35">
      <c r="A667" s="7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35">
      <c r="A668" s="7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35">
      <c r="A669" s="7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35">
      <c r="A670" s="7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35">
      <c r="A671" s="7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35">
      <c r="A672" s="7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35">
      <c r="A673" s="7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35">
      <c r="A674" s="7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35">
      <c r="A675" s="7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35">
      <c r="A676" s="7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35">
      <c r="A677" s="7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35">
      <c r="A678" s="7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35">
      <c r="A679" s="7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35">
      <c r="A680" s="7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35">
      <c r="A681" s="7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35">
      <c r="A682" s="7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35">
      <c r="A683" s="7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35">
      <c r="A684" s="7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35">
      <c r="A685" s="7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35">
      <c r="A686" s="7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35">
      <c r="A687" s="7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35">
      <c r="A688" s="7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35">
      <c r="A689" s="7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35">
      <c r="A690" s="7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35">
      <c r="A691" s="7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35">
      <c r="A692" s="7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35">
      <c r="A693" s="7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35">
      <c r="A694" s="7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35">
      <c r="A695" s="7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35">
      <c r="A696" s="7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35">
      <c r="A697" s="7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35">
      <c r="A698" s="7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35">
      <c r="A699" s="7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35">
      <c r="A700" s="7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35">
      <c r="A701" s="7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35">
      <c r="A702" s="7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35">
      <c r="A703" s="7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35">
      <c r="A704" s="7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35">
      <c r="A705" s="7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35">
      <c r="A706" s="7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35">
      <c r="A707" s="7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35">
      <c r="A708" s="7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35">
      <c r="A709" s="7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35">
      <c r="A710" s="7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35">
      <c r="A711" s="7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35">
      <c r="A712" s="7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35">
      <c r="A713" s="7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35">
      <c r="A714" s="7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35">
      <c r="A715" s="7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35">
      <c r="A716" s="7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35">
      <c r="A717" s="7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35">
      <c r="A718" s="7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35">
      <c r="A719" s="7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35">
      <c r="A720" s="7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35">
      <c r="A721" s="7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35">
      <c r="A722" s="7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35">
      <c r="A723" s="7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35">
      <c r="A724" s="7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35">
      <c r="A725" s="7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35">
      <c r="A726" s="7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35">
      <c r="A727" s="7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35">
      <c r="A728" s="7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35">
      <c r="A729" s="7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35">
      <c r="A730" s="7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35">
      <c r="A731" s="7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35">
      <c r="A732" s="7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35">
      <c r="A733" s="7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35">
      <c r="A734" s="7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35">
      <c r="A735" s="7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35">
      <c r="A736" s="7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35">
      <c r="A737" s="7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35">
      <c r="A738" s="7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35">
      <c r="A739" s="7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35">
      <c r="A740" s="7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35">
      <c r="A741" s="7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35">
      <c r="A742" s="7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35">
      <c r="A743" s="7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35">
      <c r="A744" s="7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35">
      <c r="A745" s="7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35">
      <c r="A746" s="7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35">
      <c r="A747" s="7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35">
      <c r="A748" s="7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35">
      <c r="A749" s="7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35">
      <c r="A750" s="7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35">
      <c r="A751" s="7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35">
      <c r="A752" s="7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35">
      <c r="A753" s="7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35">
      <c r="A754" s="7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35">
      <c r="A755" s="7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35">
      <c r="A756" s="7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35">
      <c r="A757" s="7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35">
      <c r="A758" s="7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35">
      <c r="A759" s="7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35">
      <c r="A760" s="7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35">
      <c r="A761" s="7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35">
      <c r="A762" s="7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35">
      <c r="A763" s="7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35">
      <c r="A764" s="7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35">
      <c r="A765" s="7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35">
      <c r="A766" s="7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35">
      <c r="A767" s="7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35">
      <c r="A768" s="7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35">
      <c r="A769" s="7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35">
      <c r="A770" s="7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35">
      <c r="A771" s="7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35">
      <c r="A772" s="7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35">
      <c r="A773" s="7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35">
      <c r="A774" s="7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35">
      <c r="A775" s="7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35">
      <c r="A776" s="7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35">
      <c r="A777" s="7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35">
      <c r="A778" s="7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35">
      <c r="A779" s="7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35">
      <c r="A780" s="7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35">
      <c r="A781" s="7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35">
      <c r="A782" s="7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35">
      <c r="A783" s="7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35">
      <c r="A784" s="7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35">
      <c r="A785" s="7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35">
      <c r="A786" s="7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35">
      <c r="A787" s="7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35">
      <c r="A788" s="7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35">
      <c r="A789" s="7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35">
      <c r="A790" s="7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35">
      <c r="A791" s="7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35">
      <c r="A792" s="7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35">
      <c r="A793" s="7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35">
      <c r="A794" s="7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35">
      <c r="A795" s="7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35">
      <c r="A796" s="7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35">
      <c r="A797" s="7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35">
      <c r="A798" s="7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35">
      <c r="A799" s="7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35">
      <c r="A800" s="7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35">
      <c r="A801" s="7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35">
      <c r="A802" s="7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35">
      <c r="A803" s="7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35">
      <c r="A804" s="7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35">
      <c r="A805" s="7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35">
      <c r="A806" s="7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35">
      <c r="A807" s="7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35">
      <c r="A808" s="7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35">
      <c r="A809" s="7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35">
      <c r="A810" s="7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35">
      <c r="A811" s="7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35">
      <c r="A812" s="7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35">
      <c r="A813" s="7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35">
      <c r="A814" s="7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35">
      <c r="A815" s="7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35">
      <c r="A816" s="7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35">
      <c r="A817" s="7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35">
      <c r="A818" s="7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35">
      <c r="A819" s="7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35">
      <c r="A820" s="7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35">
      <c r="A821" s="7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35">
      <c r="A822" s="7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35">
      <c r="A823" s="7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35">
      <c r="A824" s="7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35">
      <c r="A825" s="7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35">
      <c r="A826" s="7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35">
      <c r="A827" s="7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35">
      <c r="A828" s="7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35">
      <c r="A829" s="7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35">
      <c r="A830" s="7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35">
      <c r="A831" s="7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35">
      <c r="A832" s="7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35">
      <c r="A833" s="7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35">
      <c r="A834" s="7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35">
      <c r="A835" s="7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35">
      <c r="A836" s="7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35">
      <c r="A837" s="7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35">
      <c r="A838" s="7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35">
      <c r="A839" s="7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35">
      <c r="A840" s="7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35">
      <c r="A841" s="7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35">
      <c r="A842" s="7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35">
      <c r="A843" s="7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35">
      <c r="A844" s="7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35">
      <c r="A845" s="7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35">
      <c r="A846" s="7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35">
      <c r="A847" s="7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35">
      <c r="A848" s="7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35">
      <c r="A849" s="7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35">
      <c r="A850" s="7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35">
      <c r="A851" s="7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35">
      <c r="A852" s="7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35">
      <c r="A853" s="7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35">
      <c r="A854" s="7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35">
      <c r="A855" s="7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35">
      <c r="A856" s="7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35">
      <c r="A857" s="7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35">
      <c r="A858" s="7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35">
      <c r="A859" s="7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35">
      <c r="A860" s="7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35">
      <c r="A861" s="7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35">
      <c r="A862" s="7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35">
      <c r="A863" s="7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35">
      <c r="A864" s="7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35">
      <c r="A865" s="7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35">
      <c r="A866" s="7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35">
      <c r="A867" s="7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35">
      <c r="A868" s="7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35">
      <c r="A869" s="7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35">
      <c r="A870" s="7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35">
      <c r="A871" s="7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35">
      <c r="A872" s="7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35">
      <c r="A873" s="7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35">
      <c r="A874" s="7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35">
      <c r="A875" s="7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35">
      <c r="A876" s="7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35">
      <c r="A877" s="7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35">
      <c r="A878" s="7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35">
      <c r="A879" s="7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35">
      <c r="A880" s="7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35">
      <c r="A881" s="7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35">
      <c r="A882" s="7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35">
      <c r="A883" s="7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35">
      <c r="A884" s="7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35">
      <c r="A885" s="7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35">
      <c r="A886" s="7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35">
      <c r="A887" s="7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35">
      <c r="A888" s="7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35">
      <c r="A889" s="7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35">
      <c r="A890" s="7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35">
      <c r="A891" s="7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35">
      <c r="A892" s="7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35">
      <c r="A893" s="7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35">
      <c r="A894" s="7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35">
      <c r="A895" s="7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35">
      <c r="A896" s="7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35">
      <c r="A897" s="7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35">
      <c r="A898" s="7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35">
      <c r="A899" s="7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35">
      <c r="A900" s="7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35">
      <c r="A901" s="7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35">
      <c r="A902" s="7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35">
      <c r="A903" s="7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35">
      <c r="A904" s="7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35">
      <c r="A905" s="7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35">
      <c r="A906" s="7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35">
      <c r="A907" s="7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35">
      <c r="A908" s="7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35">
      <c r="A909" s="7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35">
      <c r="A910" s="7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35">
      <c r="A911" s="7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35">
      <c r="A912" s="7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35">
      <c r="A913" s="7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35">
      <c r="A914" s="7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35">
      <c r="A915" s="7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35">
      <c r="A916" s="7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35">
      <c r="A917" s="7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35">
      <c r="A918" s="7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35">
      <c r="A919" s="7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35">
      <c r="A920" s="7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35">
      <c r="A921" s="7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35">
      <c r="A922" s="7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35">
      <c r="A923" s="7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35">
      <c r="A924" s="7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35">
      <c r="A925" s="7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35">
      <c r="A926" s="7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35">
      <c r="A927" s="7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35">
      <c r="A928" s="7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35">
      <c r="A929" s="7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35">
      <c r="A930" s="7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35">
      <c r="A931" s="7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35">
      <c r="A932" s="7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35">
      <c r="A933" s="7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35">
      <c r="A934" s="7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35">
      <c r="A935" s="7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35">
      <c r="A936" s="7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35">
      <c r="A937" s="7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35">
      <c r="A938" s="7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35">
      <c r="A939" s="7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35">
      <c r="A940" s="7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35">
      <c r="A941" s="7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35">
      <c r="A942" s="7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35">
      <c r="A943" s="7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35">
      <c r="A944" s="7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35">
      <c r="A945" s="7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35">
      <c r="A946" s="7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35">
      <c r="A947" s="7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35">
      <c r="A948" s="7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35">
      <c r="A949" s="7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35">
      <c r="A950" s="7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35">
      <c r="A951" s="7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35">
      <c r="A952" s="7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35">
      <c r="A953" s="7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35">
      <c r="A954" s="7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35">
      <c r="A955" s="7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35">
      <c r="A956" s="7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35">
      <c r="A957" s="7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35">
      <c r="A958" s="7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35">
      <c r="A959" s="7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35">
      <c r="A960" s="7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35">
      <c r="A961" s="7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35">
      <c r="A962" s="7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35">
      <c r="A963" s="7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35">
      <c r="A964" s="7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35">
      <c r="A965" s="7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35">
      <c r="A966" s="7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35">
      <c r="A967" s="7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35">
      <c r="A968" s="7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35">
      <c r="A969" s="7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35">
      <c r="A970" s="7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35">
      <c r="A971" s="7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35">
      <c r="A972" s="7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35">
      <c r="A973" s="7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35">
      <c r="A974" s="7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35">
      <c r="A975" s="7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35">
      <c r="A976" s="7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35">
      <c r="A977" s="7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35">
      <c r="A978" s="7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35">
      <c r="A979" s="7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35">
      <c r="A980" s="7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35">
      <c r="A981" s="7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35">
      <c r="A982" s="7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35">
      <c r="A983" s="7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35">
      <c r="A984" s="7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35">
      <c r="A985" s="7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35">
      <c r="A986" s="7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35">
      <c r="A987" s="7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35">
      <c r="A988" s="7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35">
      <c r="A989" s="7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35">
      <c r="A990" s="7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35">
      <c r="A991" s="7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35">
      <c r="A992" s="7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35">
      <c r="A993" s="7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35">
      <c r="A994" s="7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35">
      <c r="A995" s="7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35">
      <c r="A996" s="7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35">
      <c r="A997" s="7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35">
      <c r="A998" s="7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35">
      <c r="A999" s="7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x14ac:dyDescent="0.35">
      <c r="A1000" s="7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x14ac:dyDescent="0.35">
      <c r="A1001" s="7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x14ac:dyDescent="0.35">
      <c r="A1002" s="7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x14ac:dyDescent="0.35">
      <c r="A1003" s="7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x14ac:dyDescent="0.35">
      <c r="A1004" s="7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</sheetData>
  <mergeCells count="1">
    <mergeCell ref="B1:E1"/>
  </mergeCells>
  <hyperlinks>
    <hyperlink ref="F13" r:id="rId1"/>
    <hyperlink ref="F44" r:id="rId2"/>
    <hyperlink ref="F31" r:id="rId3"/>
    <hyperlink ref="G31" r:id="rId4" location="vacancy-list" display="https://hh.ru/employer/2791 - vacancy-list"/>
  </hyperlink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1000"/>
  <sheetViews>
    <sheetView topLeftCell="A13" zoomScale="85" zoomScaleNormal="85" zoomScalePageLayoutView="85" workbookViewId="0">
      <selection activeCell="H18" sqref="H18"/>
    </sheetView>
  </sheetViews>
  <sheetFormatPr defaultColWidth="15.1796875" defaultRowHeight="14.5" x14ac:dyDescent="0.35"/>
  <cols>
    <col min="1" max="1" width="4.1796875" customWidth="1"/>
    <col min="2" max="2" width="49.36328125" customWidth="1"/>
    <col min="3" max="3" width="18.453125" customWidth="1"/>
    <col min="4" max="4" width="32" customWidth="1"/>
    <col min="5" max="5" width="27" customWidth="1"/>
    <col min="6" max="6" width="19.453125" customWidth="1"/>
    <col min="7" max="7" width="23.81640625" customWidth="1"/>
    <col min="8" max="8" width="24.81640625" customWidth="1"/>
    <col min="9" max="17" width="6.6328125" customWidth="1"/>
    <col min="18" max="26" width="13.1796875" customWidth="1"/>
  </cols>
  <sheetData>
    <row r="1" spans="1:26" x14ac:dyDescent="0.35">
      <c r="A1" s="70"/>
      <c r="B1" s="1"/>
      <c r="C1" s="70"/>
      <c r="D1" s="1"/>
      <c r="E1" s="70"/>
      <c r="F1" s="91"/>
      <c r="G1" s="9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35">
      <c r="A2" s="70"/>
      <c r="B2" s="163" t="s">
        <v>684</v>
      </c>
      <c r="C2" s="164"/>
      <c r="D2" s="164"/>
      <c r="E2" s="164"/>
      <c r="F2" s="91"/>
      <c r="G2" s="9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35">
      <c r="A3" s="70"/>
      <c r="B3" s="1"/>
      <c r="C3" s="70"/>
      <c r="D3" s="1"/>
      <c r="E3" s="70"/>
      <c r="F3" s="91"/>
      <c r="G3" s="9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35">
      <c r="A4" s="6"/>
      <c r="B4" s="18" t="s">
        <v>0</v>
      </c>
      <c r="C4" s="18" t="s">
        <v>708</v>
      </c>
      <c r="D4" s="18" t="s">
        <v>1</v>
      </c>
      <c r="E4" s="18" t="s">
        <v>2</v>
      </c>
      <c r="F4" s="12" t="s">
        <v>707</v>
      </c>
      <c r="G4" s="12" t="s">
        <v>689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56.5" x14ac:dyDescent="0.35">
      <c r="A5" s="19">
        <v>1</v>
      </c>
      <c r="B5" s="19" t="s">
        <v>358</v>
      </c>
      <c r="C5" s="19" t="s">
        <v>692</v>
      </c>
      <c r="D5" s="19" t="s">
        <v>359</v>
      </c>
      <c r="E5" s="19" t="s">
        <v>195</v>
      </c>
      <c r="F5" s="20" t="str">
        <f>HYPERLINK("http://www.niipma.ru/node/51","http://www.niipma.ru/node/51")</f>
        <v>http://www.niipma.ru/node/51</v>
      </c>
      <c r="G5" s="2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56.5" x14ac:dyDescent="0.35">
      <c r="A6" s="19">
        <v>2</v>
      </c>
      <c r="B6" s="19" t="s">
        <v>1507</v>
      </c>
      <c r="C6" s="19" t="s">
        <v>668</v>
      </c>
      <c r="D6" s="19" t="s">
        <v>1509</v>
      </c>
      <c r="E6" s="19" t="s">
        <v>195</v>
      </c>
      <c r="F6" s="20" t="str">
        <f>HYPERLINK("http://www.kbsu.ru/index.php?option=com_content&amp;view=section&amp;id=12&amp;Itemid=135","http://www.kbsu.ru/index.php?option=com_content&amp;view=section&amp;id=12&amp;Itemid=135")</f>
        <v>http://www.kbsu.ru/index.php?option=com_content&amp;view=section&amp;id=12&amp;Itemid=135</v>
      </c>
      <c r="G6" s="2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42.5" x14ac:dyDescent="0.35">
      <c r="A7" s="19">
        <v>3</v>
      </c>
      <c r="B7" s="19" t="s">
        <v>362</v>
      </c>
      <c r="C7" s="19" t="s">
        <v>690</v>
      </c>
      <c r="D7" s="19" t="s">
        <v>363</v>
      </c>
      <c r="E7" s="19" t="s">
        <v>195</v>
      </c>
      <c r="F7" s="20" t="str">
        <f>HYPERLINK("http://kavkazcabel.ru/contact","http://kavkazcabel.ru/contact")</f>
        <v>http://kavkazcabel.ru/contact</v>
      </c>
      <c r="G7" s="25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70.5" x14ac:dyDescent="0.35">
      <c r="A8" s="19">
        <v>4</v>
      </c>
      <c r="B8" s="19" t="s">
        <v>1419</v>
      </c>
      <c r="C8" s="19" t="s">
        <v>668</v>
      </c>
      <c r="D8" s="19" t="s">
        <v>1420</v>
      </c>
      <c r="E8" s="19" t="s">
        <v>169</v>
      </c>
      <c r="F8" s="20" t="str">
        <f>HYPERLINK("http://dgma.ru/kontakty-0","http://dgma.ru/kontakty-0")</f>
        <v>http://dgma.ru/kontakty-0</v>
      </c>
      <c r="G8" s="25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42.5" x14ac:dyDescent="0.35">
      <c r="A9" s="19">
        <v>5</v>
      </c>
      <c r="B9" s="19" t="s">
        <v>542</v>
      </c>
      <c r="C9" s="19" t="s">
        <v>692</v>
      </c>
      <c r="D9" s="19" t="s">
        <v>437</v>
      </c>
      <c r="E9" s="19" t="s">
        <v>169</v>
      </c>
      <c r="F9" s="20" t="str">
        <f>HYPERLINK("http://www.dagphys.ru/","http://www.dagphys.ru/")</f>
        <v>http://www.dagphys.ru/</v>
      </c>
      <c r="G9" s="25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56.5" x14ac:dyDescent="0.35">
      <c r="A10" s="19">
        <v>6</v>
      </c>
      <c r="B10" s="19" t="s">
        <v>544</v>
      </c>
      <c r="C10" s="19" t="s">
        <v>692</v>
      </c>
      <c r="D10" s="19" t="s">
        <v>440</v>
      </c>
      <c r="E10" s="19" t="s">
        <v>169</v>
      </c>
      <c r="F10" s="20" t="str">
        <f>HYPERLINK("http://dagniisx.ru/kontakty.html","http://dagniisx.ru/kontakty.html")</f>
        <v>http://dagniisx.ru/kontakty.html</v>
      </c>
      <c r="G10" s="25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2.5" x14ac:dyDescent="0.35">
      <c r="A11" s="19">
        <v>7</v>
      </c>
      <c r="B11" s="19" t="s">
        <v>545</v>
      </c>
      <c r="C11" s="19" t="s">
        <v>692</v>
      </c>
      <c r="D11" s="19" t="s">
        <v>438</v>
      </c>
      <c r="E11" s="19" t="s">
        <v>169</v>
      </c>
      <c r="F11" s="20" t="str">
        <f>HYPERLINK("http://iseiran.ru/kontaktyi.html","http://iseiran.ru/kontaktyi.html")</f>
        <v>http://iseiran.ru/kontaktyi.html</v>
      </c>
      <c r="G11" s="2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70.5" x14ac:dyDescent="0.35">
      <c r="A12" s="19">
        <v>8</v>
      </c>
      <c r="B12" s="19" t="s">
        <v>1422</v>
      </c>
      <c r="C12" s="19" t="s">
        <v>668</v>
      </c>
      <c r="D12" s="19" t="s">
        <v>1510</v>
      </c>
      <c r="E12" s="19" t="s">
        <v>340</v>
      </c>
      <c r="F12" s="20" t="str">
        <f>HYPERLINK("http://sogma.ru/index.php?page%5bcommon%5d=socium&amp;id=63&amp;cat=main&amp;news=8575","http://sogma.ru/index.php?page[common]=socium&amp;id=63&amp;cat=main&amp;news=8575")</f>
        <v>http://sogma.ru/index.php?page[common]=socium&amp;id=63&amp;cat=main&amp;news=8575</v>
      </c>
      <c r="G12" s="25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70.5" x14ac:dyDescent="0.35">
      <c r="A13" s="19">
        <v>9</v>
      </c>
      <c r="B13" s="19" t="s">
        <v>1423</v>
      </c>
      <c r="C13" s="19" t="s">
        <v>668</v>
      </c>
      <c r="D13" s="19" t="s">
        <v>1424</v>
      </c>
      <c r="E13" s="19" t="s">
        <v>207</v>
      </c>
      <c r="F13" s="20" t="str">
        <f>HYPERLINK("http://stgmu.ru/?s=graduate&amp;page=10000545","http://stgmu.ru/?s=graduate&amp;page=10000545")</f>
        <v>http://stgmu.ru/?s=graduate&amp;page=10000545</v>
      </c>
      <c r="G13" s="25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42.5" x14ac:dyDescent="0.35">
      <c r="A14" s="19">
        <v>10</v>
      </c>
      <c r="B14" s="64" t="s">
        <v>1425</v>
      </c>
      <c r="C14" s="64" t="s">
        <v>668</v>
      </c>
      <c r="D14" s="64" t="s">
        <v>1426</v>
      </c>
      <c r="E14" s="64" t="s">
        <v>207</v>
      </c>
      <c r="F14" s="147" t="str">
        <f>HYPERLINK("http://www.ncfu.ru/konkurs_zamesch_dolzh_pps.html","http://www.ncfu.ru/konkurs_zamesch_dolzh_pps.html")</f>
        <v>http://www.ncfu.ru/konkurs_zamesch_dolzh_pps.html</v>
      </c>
      <c r="G14" s="25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108" customFormat="1" ht="42.5" x14ac:dyDescent="0.35">
      <c r="A15" s="19">
        <v>11</v>
      </c>
      <c r="B15" s="115" t="s">
        <v>1650</v>
      </c>
      <c r="C15" s="115" t="s">
        <v>690</v>
      </c>
      <c r="D15" s="115" t="s">
        <v>1651</v>
      </c>
      <c r="E15" s="115" t="s">
        <v>207</v>
      </c>
      <c r="F15" s="131" t="s">
        <v>1652</v>
      </c>
      <c r="G15" s="151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70.5" x14ac:dyDescent="0.35">
      <c r="A16" s="19">
        <v>12</v>
      </c>
      <c r="B16" s="68" t="s">
        <v>1508</v>
      </c>
      <c r="C16" s="68" t="s">
        <v>668</v>
      </c>
      <c r="D16" s="68" t="s">
        <v>1427</v>
      </c>
      <c r="E16" s="68" t="s">
        <v>210</v>
      </c>
      <c r="F16" s="127" t="str">
        <f>HYPERLINK("http://www.gsoi.ru/kontakty","http://www.gsoi.ru/kontakty")</f>
        <v>http://www.gsoi.ru/kontakty</v>
      </c>
      <c r="G16" s="25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2.5" x14ac:dyDescent="0.35">
      <c r="A17" s="19">
        <v>13</v>
      </c>
      <c r="B17" s="19" t="s">
        <v>658</v>
      </c>
      <c r="C17" s="19" t="s">
        <v>690</v>
      </c>
      <c r="D17" s="19" t="s">
        <v>659</v>
      </c>
      <c r="E17" s="19" t="s">
        <v>210</v>
      </c>
      <c r="F17" s="19" t="s">
        <v>1428</v>
      </c>
      <c r="G17" s="25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56.5" x14ac:dyDescent="0.35">
      <c r="A18" s="19">
        <v>14</v>
      </c>
      <c r="B18" s="19" t="s">
        <v>1431</v>
      </c>
      <c r="C18" s="19" t="s">
        <v>668</v>
      </c>
      <c r="D18" s="19" t="s">
        <v>1432</v>
      </c>
      <c r="E18" s="19" t="s">
        <v>210</v>
      </c>
      <c r="F18" s="20" t="str">
        <f>HYPERLINK("http://chspu.ru/o-chgpu","http://chspu.ru/o-chgpu")</f>
        <v>http://chspu.ru/o-chgpu</v>
      </c>
      <c r="G18" s="2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35">
      <c r="A19" s="70"/>
      <c r="B19" s="1"/>
      <c r="C19" s="70"/>
      <c r="D19" s="1"/>
      <c r="E19" s="70"/>
      <c r="F19" s="91"/>
      <c r="G19" s="91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35">
      <c r="A20" s="70"/>
      <c r="B20" s="1"/>
      <c r="C20" s="70"/>
      <c r="D20" s="1"/>
      <c r="E20" s="70"/>
      <c r="F20" s="91"/>
      <c r="G20" s="91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35">
      <c r="A21" s="70"/>
      <c r="B21" s="1"/>
      <c r="C21" s="70"/>
      <c r="D21" s="1"/>
      <c r="E21" s="70"/>
      <c r="F21" s="91"/>
      <c r="G21" s="91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35">
      <c r="A22" s="7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35">
      <c r="A23" s="73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35">
      <c r="A24" s="7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35">
      <c r="A25" s="7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35">
      <c r="A26" s="7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35">
      <c r="A27" s="7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35">
      <c r="A28" s="7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35">
      <c r="A29" s="7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35">
      <c r="A30" s="7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35">
      <c r="A31" s="7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35">
      <c r="A32" s="7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35">
      <c r="A33" s="7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35">
      <c r="A34" s="7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35">
      <c r="A35" s="7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35">
      <c r="A36" s="7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35">
      <c r="A37" s="7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35">
      <c r="A38" s="7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35">
      <c r="A39" s="7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35">
      <c r="A40" s="7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35">
      <c r="A41" s="7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35">
      <c r="A42" s="7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35">
      <c r="A43" s="7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35">
      <c r="A44" s="7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35">
      <c r="A45" s="7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35">
      <c r="A46" s="7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35">
      <c r="A47" s="7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35">
      <c r="A48" s="7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35">
      <c r="A49" s="7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35">
      <c r="A50" s="7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35">
      <c r="A51" s="7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35">
      <c r="A52" s="7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35">
      <c r="A53" s="7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35">
      <c r="A54" s="7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35">
      <c r="A55" s="7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35">
      <c r="A56" s="7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35">
      <c r="A57" s="7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35">
      <c r="A58" s="7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35">
      <c r="A59" s="7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35">
      <c r="A60" s="7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35">
      <c r="A61" s="7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35">
      <c r="A62" s="7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35">
      <c r="A63" s="7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35">
      <c r="A64" s="7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35">
      <c r="A65" s="7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35">
      <c r="A66" s="7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35">
      <c r="A67" s="7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35">
      <c r="A68" s="7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35">
      <c r="A69" s="7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35">
      <c r="A70" s="7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35">
      <c r="A71" s="7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35">
      <c r="A72" s="7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35">
      <c r="A73" s="7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35">
      <c r="A74" s="7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35">
      <c r="A75" s="7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35">
      <c r="A76" s="7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35">
      <c r="A77" s="7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35">
      <c r="A78" s="7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35">
      <c r="A79" s="7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35">
      <c r="A80" s="7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35">
      <c r="A81" s="7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35">
      <c r="A82" s="7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35">
      <c r="A83" s="7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35">
      <c r="A84" s="7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35">
      <c r="A85" s="7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35">
      <c r="A86" s="7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35">
      <c r="A87" s="7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35">
      <c r="A88" s="7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35">
      <c r="A89" s="7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35">
      <c r="A90" s="7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35">
      <c r="A91" s="7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35">
      <c r="A92" s="7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35">
      <c r="A93" s="7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35">
      <c r="A94" s="7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35">
      <c r="A95" s="7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35">
      <c r="A96" s="7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35">
      <c r="A97" s="7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35">
      <c r="A98" s="7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35">
      <c r="A99" s="7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35">
      <c r="A100" s="7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35">
      <c r="A101" s="7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35">
      <c r="A102" s="7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35">
      <c r="A103" s="7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35">
      <c r="A104" s="7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35">
      <c r="A105" s="7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35">
      <c r="A106" s="7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35">
      <c r="A107" s="7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35">
      <c r="A108" s="7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35">
      <c r="A109" s="7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35">
      <c r="A110" s="7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35">
      <c r="A111" s="7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35">
      <c r="A112" s="7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35">
      <c r="A113" s="7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35">
      <c r="A114" s="7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35">
      <c r="A115" s="7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35">
      <c r="A116" s="7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35">
      <c r="A117" s="7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35">
      <c r="A118" s="7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35">
      <c r="A119" s="7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35">
      <c r="A120" s="7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35">
      <c r="A121" s="7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35">
      <c r="A122" s="7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35">
      <c r="A123" s="7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35">
      <c r="A124" s="7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35">
      <c r="A125" s="7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35">
      <c r="A126" s="7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35">
      <c r="A127" s="7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35">
      <c r="A128" s="7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35">
      <c r="A129" s="7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35">
      <c r="A130" s="7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35">
      <c r="A131" s="7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35">
      <c r="A132" s="7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35">
      <c r="A133" s="7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35">
      <c r="A134" s="7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35">
      <c r="A135" s="7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35">
      <c r="A136" s="7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35">
      <c r="A137" s="7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35">
      <c r="A138" s="7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35">
      <c r="A139" s="7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35">
      <c r="A140" s="7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35">
      <c r="A141" s="7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35">
      <c r="A142" s="7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35">
      <c r="A143" s="7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35">
      <c r="A144" s="7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35">
      <c r="A145" s="7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35">
      <c r="A146" s="7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35">
      <c r="A147" s="7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35">
      <c r="A148" s="7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35">
      <c r="A149" s="7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35">
      <c r="A150" s="7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35">
      <c r="A151" s="7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35">
      <c r="A152" s="7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35">
      <c r="A153" s="7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35">
      <c r="A154" s="7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35">
      <c r="A155" s="7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35">
      <c r="A156" s="7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35">
      <c r="A157" s="7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35">
      <c r="A158" s="7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35">
      <c r="A159" s="7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35">
      <c r="A160" s="7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35">
      <c r="A161" s="7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35">
      <c r="A162" s="7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35">
      <c r="A163" s="7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35">
      <c r="A164" s="7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35">
      <c r="A165" s="7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35">
      <c r="A166" s="7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35">
      <c r="A167" s="7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35">
      <c r="A168" s="7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35">
      <c r="A169" s="7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35">
      <c r="A170" s="7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35">
      <c r="A171" s="7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35">
      <c r="A172" s="7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35">
      <c r="A173" s="7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35">
      <c r="A174" s="7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35">
      <c r="A175" s="7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35">
      <c r="A176" s="7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35">
      <c r="A177" s="7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35">
      <c r="A178" s="7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35">
      <c r="A179" s="7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35">
      <c r="A180" s="7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35">
      <c r="A181" s="7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35">
      <c r="A182" s="7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35">
      <c r="A183" s="7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35">
      <c r="A184" s="7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35">
      <c r="A185" s="7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35">
      <c r="A186" s="7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35">
      <c r="A187" s="7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35">
      <c r="A188" s="7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35">
      <c r="A189" s="7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35">
      <c r="A190" s="7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35">
      <c r="A191" s="7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35">
      <c r="A192" s="7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35">
      <c r="A193" s="7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35">
      <c r="A194" s="7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35">
      <c r="A195" s="7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35">
      <c r="A196" s="7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35">
      <c r="A197" s="7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35">
      <c r="A198" s="7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35">
      <c r="A199" s="7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35">
      <c r="A200" s="7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35">
      <c r="A201" s="7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35">
      <c r="A202" s="7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35">
      <c r="A203" s="7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35">
      <c r="A204" s="7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35">
      <c r="A205" s="7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35">
      <c r="A206" s="7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35">
      <c r="A207" s="7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35">
      <c r="A208" s="7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35">
      <c r="A209" s="7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35">
      <c r="A210" s="7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35">
      <c r="A211" s="7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35">
      <c r="A212" s="7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35">
      <c r="A213" s="7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35">
      <c r="A214" s="7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35">
      <c r="A215" s="7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35">
      <c r="A216" s="7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35">
      <c r="A217" s="7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35">
      <c r="A218" s="7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35">
      <c r="A219" s="7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35">
      <c r="A220" s="7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35">
      <c r="A221" s="7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35">
      <c r="A222" s="7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35">
      <c r="A223" s="7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35">
      <c r="A224" s="7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35">
      <c r="A225" s="7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35">
      <c r="A226" s="7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35">
      <c r="A227" s="7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35">
      <c r="A228" s="7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35">
      <c r="A229" s="7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35">
      <c r="A230" s="7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35">
      <c r="A231" s="7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35">
      <c r="A232" s="7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35">
      <c r="A233" s="7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35">
      <c r="A234" s="7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35">
      <c r="A235" s="7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35">
      <c r="A236" s="7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35">
      <c r="A237" s="7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35">
      <c r="A238" s="7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35">
      <c r="A239" s="7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35">
      <c r="A240" s="7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35">
      <c r="A241" s="7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35">
      <c r="A242" s="7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35">
      <c r="A243" s="7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35">
      <c r="A244" s="7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35">
      <c r="A245" s="7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35">
      <c r="A246" s="7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35">
      <c r="A247" s="7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35">
      <c r="A248" s="7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35">
      <c r="A249" s="7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35">
      <c r="A250" s="7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35">
      <c r="A251" s="7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35">
      <c r="A252" s="7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35">
      <c r="A253" s="7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35">
      <c r="A254" s="7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35">
      <c r="A255" s="7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35">
      <c r="A256" s="7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35">
      <c r="A257" s="7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35">
      <c r="A258" s="7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35">
      <c r="A259" s="7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35">
      <c r="A260" s="7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35">
      <c r="A261" s="7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35">
      <c r="A262" s="7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35">
      <c r="A263" s="7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35">
      <c r="A264" s="7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35">
      <c r="A265" s="7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35">
      <c r="A266" s="7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35">
      <c r="A267" s="7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35">
      <c r="A268" s="7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35">
      <c r="A269" s="7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35">
      <c r="A270" s="7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35">
      <c r="A271" s="7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35">
      <c r="A272" s="7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35">
      <c r="A273" s="7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35">
      <c r="A274" s="7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35">
      <c r="A275" s="7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35">
      <c r="A276" s="7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35">
      <c r="A277" s="7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35">
      <c r="A278" s="7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35">
      <c r="A279" s="7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35">
      <c r="A280" s="7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35">
      <c r="A281" s="7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35">
      <c r="A282" s="7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35">
      <c r="A283" s="7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35">
      <c r="A284" s="7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35">
      <c r="A285" s="7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35">
      <c r="A286" s="7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35">
      <c r="A287" s="7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35">
      <c r="A288" s="7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35">
      <c r="A289" s="7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35">
      <c r="A290" s="7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35">
      <c r="A291" s="7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35">
      <c r="A292" s="7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35">
      <c r="A293" s="7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35">
      <c r="A294" s="7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35">
      <c r="A295" s="7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35">
      <c r="A296" s="7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35">
      <c r="A297" s="7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35">
      <c r="A298" s="7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35">
      <c r="A299" s="7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35">
      <c r="A300" s="7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35">
      <c r="A301" s="7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35">
      <c r="A302" s="7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35">
      <c r="A303" s="7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35">
      <c r="A304" s="7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35">
      <c r="A305" s="7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35">
      <c r="A306" s="7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35">
      <c r="A307" s="7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35">
      <c r="A308" s="7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35">
      <c r="A309" s="7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35">
      <c r="A310" s="7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35">
      <c r="A311" s="7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35">
      <c r="A312" s="7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35">
      <c r="A313" s="7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35">
      <c r="A314" s="7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35">
      <c r="A315" s="7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35">
      <c r="A316" s="7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35">
      <c r="A317" s="7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35">
      <c r="A318" s="7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35">
      <c r="A319" s="7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35">
      <c r="A320" s="7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35">
      <c r="A321" s="7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35">
      <c r="A322" s="7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35">
      <c r="A323" s="7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35">
      <c r="A324" s="7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35">
      <c r="A325" s="7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35">
      <c r="A326" s="7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35">
      <c r="A327" s="7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35">
      <c r="A328" s="7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35">
      <c r="A329" s="7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35">
      <c r="A330" s="7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35">
      <c r="A331" s="7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35">
      <c r="A332" s="7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35">
      <c r="A333" s="7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35">
      <c r="A334" s="7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35">
      <c r="A335" s="7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35">
      <c r="A336" s="7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35">
      <c r="A337" s="7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35">
      <c r="A338" s="7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35">
      <c r="A339" s="7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35">
      <c r="A340" s="7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35">
      <c r="A341" s="7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35">
      <c r="A342" s="7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35">
      <c r="A343" s="7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35">
      <c r="A344" s="7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35">
      <c r="A345" s="7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35">
      <c r="A346" s="7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35">
      <c r="A347" s="7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35">
      <c r="A348" s="7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35">
      <c r="A349" s="7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35">
      <c r="A350" s="7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35">
      <c r="A351" s="7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35">
      <c r="A352" s="7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35">
      <c r="A353" s="7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35">
      <c r="A354" s="7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35">
      <c r="A355" s="7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35">
      <c r="A356" s="7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35">
      <c r="A357" s="7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35">
      <c r="A358" s="7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35">
      <c r="A359" s="7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35">
      <c r="A360" s="7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35">
      <c r="A361" s="7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35">
      <c r="A362" s="7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35">
      <c r="A363" s="7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35">
      <c r="A364" s="7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35">
      <c r="A365" s="7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35">
      <c r="A366" s="7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35">
      <c r="A367" s="7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35">
      <c r="A368" s="7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35">
      <c r="A369" s="7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35">
      <c r="A370" s="7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35">
      <c r="A371" s="7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35">
      <c r="A372" s="7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35">
      <c r="A373" s="7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35">
      <c r="A374" s="7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35">
      <c r="A375" s="7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35">
      <c r="A376" s="7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35">
      <c r="A377" s="7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35">
      <c r="A378" s="7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35">
      <c r="A379" s="7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35">
      <c r="A380" s="7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35">
      <c r="A381" s="7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35">
      <c r="A382" s="7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35">
      <c r="A383" s="7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35">
      <c r="A384" s="7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35">
      <c r="A385" s="7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35">
      <c r="A386" s="7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35">
      <c r="A387" s="7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35">
      <c r="A388" s="7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35">
      <c r="A389" s="7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35">
      <c r="A390" s="7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35">
      <c r="A391" s="7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35">
      <c r="A392" s="7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35">
      <c r="A393" s="7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35">
      <c r="A394" s="7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35">
      <c r="A395" s="7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35">
      <c r="A396" s="7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35">
      <c r="A397" s="7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35">
      <c r="A398" s="7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35">
      <c r="A399" s="7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35">
      <c r="A400" s="7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35">
      <c r="A401" s="7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35">
      <c r="A402" s="7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35">
      <c r="A403" s="7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35">
      <c r="A404" s="7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35">
      <c r="A405" s="7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35">
      <c r="A406" s="7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35">
      <c r="A407" s="7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35">
      <c r="A408" s="7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35">
      <c r="A409" s="7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35">
      <c r="A410" s="7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35">
      <c r="A411" s="7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35">
      <c r="A412" s="7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35">
      <c r="A413" s="7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35">
      <c r="A414" s="7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35">
      <c r="A415" s="7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35">
      <c r="A416" s="7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35">
      <c r="A417" s="7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35">
      <c r="A418" s="7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35">
      <c r="A419" s="7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35">
      <c r="A420" s="7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35">
      <c r="A421" s="7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35">
      <c r="A422" s="7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35">
      <c r="A423" s="7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35">
      <c r="A424" s="7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35">
      <c r="A425" s="7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35">
      <c r="A426" s="7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35">
      <c r="A427" s="7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35">
      <c r="A428" s="7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35">
      <c r="A429" s="7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35">
      <c r="A430" s="7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35">
      <c r="A431" s="7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35">
      <c r="A432" s="7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35">
      <c r="A433" s="7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35">
      <c r="A434" s="7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35">
      <c r="A435" s="7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35">
      <c r="A436" s="7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35">
      <c r="A437" s="7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35">
      <c r="A438" s="7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35">
      <c r="A439" s="7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35">
      <c r="A440" s="7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35">
      <c r="A441" s="7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35">
      <c r="A442" s="7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35">
      <c r="A443" s="7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35">
      <c r="A444" s="7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35">
      <c r="A445" s="7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35">
      <c r="A446" s="7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35">
      <c r="A447" s="7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35">
      <c r="A448" s="7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35">
      <c r="A449" s="7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35">
      <c r="A450" s="7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35">
      <c r="A451" s="7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35">
      <c r="A452" s="7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35">
      <c r="A453" s="7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35">
      <c r="A454" s="7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35">
      <c r="A455" s="7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35">
      <c r="A456" s="7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35">
      <c r="A457" s="7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35">
      <c r="A458" s="7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35">
      <c r="A459" s="7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35">
      <c r="A460" s="7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35">
      <c r="A461" s="7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35">
      <c r="A462" s="7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35">
      <c r="A463" s="7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35">
      <c r="A464" s="7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35">
      <c r="A465" s="7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35">
      <c r="A466" s="7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35">
      <c r="A467" s="7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35">
      <c r="A468" s="7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35">
      <c r="A469" s="7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35">
      <c r="A470" s="7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35">
      <c r="A471" s="7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35">
      <c r="A472" s="7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35">
      <c r="A473" s="7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35">
      <c r="A474" s="7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35">
      <c r="A475" s="7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35">
      <c r="A476" s="7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35">
      <c r="A477" s="7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35">
      <c r="A478" s="7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35">
      <c r="A479" s="7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35">
      <c r="A480" s="7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35">
      <c r="A481" s="7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35">
      <c r="A482" s="7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35">
      <c r="A483" s="7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35">
      <c r="A484" s="7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35">
      <c r="A485" s="7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35">
      <c r="A486" s="7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35">
      <c r="A487" s="7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35">
      <c r="A488" s="7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35">
      <c r="A489" s="7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35">
      <c r="A490" s="7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35">
      <c r="A491" s="7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35">
      <c r="A492" s="7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35">
      <c r="A493" s="7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35">
      <c r="A494" s="7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35">
      <c r="A495" s="7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35">
      <c r="A496" s="7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35">
      <c r="A497" s="7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35">
      <c r="A498" s="7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35">
      <c r="A499" s="7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35">
      <c r="A500" s="7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35">
      <c r="A501" s="7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35">
      <c r="A502" s="7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35">
      <c r="A503" s="7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35">
      <c r="A504" s="7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35">
      <c r="A505" s="7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35">
      <c r="A506" s="7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35">
      <c r="A507" s="7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35">
      <c r="A508" s="7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35">
      <c r="A509" s="7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35">
      <c r="A510" s="7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35">
      <c r="A511" s="7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35">
      <c r="A512" s="7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35">
      <c r="A513" s="7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35">
      <c r="A514" s="7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35">
      <c r="A515" s="7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35">
      <c r="A516" s="7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35">
      <c r="A517" s="7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35">
      <c r="A518" s="7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35">
      <c r="A519" s="7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35">
      <c r="A520" s="7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35">
      <c r="A521" s="7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35">
      <c r="A522" s="7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35">
      <c r="A523" s="7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35">
      <c r="A524" s="7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35">
      <c r="A525" s="7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35">
      <c r="A526" s="7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35">
      <c r="A527" s="7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35">
      <c r="A528" s="7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35">
      <c r="A529" s="7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35">
      <c r="A530" s="7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35">
      <c r="A531" s="7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35">
      <c r="A532" s="7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35">
      <c r="A533" s="7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35">
      <c r="A534" s="7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35">
      <c r="A535" s="7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35">
      <c r="A536" s="7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35">
      <c r="A537" s="7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35">
      <c r="A538" s="7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35">
      <c r="A539" s="7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35">
      <c r="A540" s="7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35">
      <c r="A541" s="7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35">
      <c r="A542" s="7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35">
      <c r="A543" s="7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35">
      <c r="A544" s="7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35">
      <c r="A545" s="7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35">
      <c r="A546" s="7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35">
      <c r="A547" s="7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35">
      <c r="A548" s="7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35">
      <c r="A549" s="7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35">
      <c r="A550" s="7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35">
      <c r="A551" s="7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35">
      <c r="A552" s="7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35">
      <c r="A553" s="7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35">
      <c r="A554" s="7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35">
      <c r="A555" s="7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35">
      <c r="A556" s="7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35">
      <c r="A557" s="7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35">
      <c r="A558" s="7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35">
      <c r="A559" s="7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35">
      <c r="A560" s="7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35">
      <c r="A561" s="7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35">
      <c r="A562" s="7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35">
      <c r="A563" s="7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35">
      <c r="A564" s="7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35">
      <c r="A565" s="7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35">
      <c r="A566" s="7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35">
      <c r="A567" s="7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35">
      <c r="A568" s="7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35">
      <c r="A569" s="7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35">
      <c r="A570" s="7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35">
      <c r="A571" s="7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35">
      <c r="A572" s="7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35">
      <c r="A573" s="7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35">
      <c r="A574" s="7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35">
      <c r="A575" s="7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35">
      <c r="A576" s="7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35">
      <c r="A577" s="7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35">
      <c r="A578" s="7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35">
      <c r="A579" s="7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35">
      <c r="A580" s="7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35">
      <c r="A581" s="7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35">
      <c r="A582" s="7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35">
      <c r="A583" s="7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35">
      <c r="A584" s="7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35">
      <c r="A585" s="7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35">
      <c r="A586" s="7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35">
      <c r="A587" s="7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35">
      <c r="A588" s="7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35">
      <c r="A589" s="7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35">
      <c r="A590" s="7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35">
      <c r="A591" s="7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35">
      <c r="A592" s="7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35">
      <c r="A593" s="7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35">
      <c r="A594" s="7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35">
      <c r="A595" s="7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35">
      <c r="A596" s="7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35">
      <c r="A597" s="7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35">
      <c r="A598" s="7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35">
      <c r="A599" s="7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35">
      <c r="A600" s="7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35">
      <c r="A601" s="7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35">
      <c r="A602" s="7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35">
      <c r="A603" s="7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35">
      <c r="A604" s="7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35">
      <c r="A605" s="7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35">
      <c r="A606" s="7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35">
      <c r="A607" s="7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35">
      <c r="A608" s="7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35">
      <c r="A609" s="7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35">
      <c r="A610" s="7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35">
      <c r="A611" s="7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35">
      <c r="A612" s="7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35">
      <c r="A613" s="7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35">
      <c r="A614" s="7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35">
      <c r="A615" s="7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35">
      <c r="A616" s="7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35">
      <c r="A617" s="7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35">
      <c r="A618" s="7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35">
      <c r="A619" s="7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35">
      <c r="A620" s="7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35">
      <c r="A621" s="7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35">
      <c r="A622" s="7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35">
      <c r="A623" s="7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35">
      <c r="A624" s="7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35">
      <c r="A625" s="7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35">
      <c r="A626" s="7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35">
      <c r="A627" s="7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35">
      <c r="A628" s="7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35">
      <c r="A629" s="7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35">
      <c r="A630" s="7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35">
      <c r="A631" s="7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35">
      <c r="A632" s="7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35">
      <c r="A633" s="7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35">
      <c r="A634" s="7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35">
      <c r="A635" s="7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35">
      <c r="A636" s="7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35">
      <c r="A637" s="7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35">
      <c r="A638" s="7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35">
      <c r="A639" s="7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35">
      <c r="A640" s="7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35">
      <c r="A641" s="7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35">
      <c r="A642" s="7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35">
      <c r="A643" s="7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35">
      <c r="A644" s="7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35">
      <c r="A645" s="7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35">
      <c r="A646" s="7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35">
      <c r="A647" s="7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35">
      <c r="A648" s="7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35">
      <c r="A649" s="7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35">
      <c r="A650" s="7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35">
      <c r="A651" s="7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35">
      <c r="A652" s="7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35">
      <c r="A653" s="7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35">
      <c r="A654" s="7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35">
      <c r="A655" s="7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35">
      <c r="A656" s="7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35">
      <c r="A657" s="7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35">
      <c r="A658" s="7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35">
      <c r="A659" s="7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35">
      <c r="A660" s="7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35">
      <c r="A661" s="7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35">
      <c r="A662" s="7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35">
      <c r="A663" s="7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35">
      <c r="A664" s="7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35">
      <c r="A665" s="7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35">
      <c r="A666" s="7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35">
      <c r="A667" s="7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35">
      <c r="A668" s="7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35">
      <c r="A669" s="7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35">
      <c r="A670" s="7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35">
      <c r="A671" s="7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35">
      <c r="A672" s="7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35">
      <c r="A673" s="7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35">
      <c r="A674" s="7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35">
      <c r="A675" s="7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35">
      <c r="A676" s="7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35">
      <c r="A677" s="7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35">
      <c r="A678" s="7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35">
      <c r="A679" s="7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35">
      <c r="A680" s="7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35">
      <c r="A681" s="7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35">
      <c r="A682" s="7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35">
      <c r="A683" s="7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35">
      <c r="A684" s="7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35">
      <c r="A685" s="7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35">
      <c r="A686" s="7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35">
      <c r="A687" s="7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35">
      <c r="A688" s="7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35">
      <c r="A689" s="7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35">
      <c r="A690" s="7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35">
      <c r="A691" s="7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35">
      <c r="A692" s="7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35">
      <c r="A693" s="7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35">
      <c r="A694" s="7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35">
      <c r="A695" s="7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35">
      <c r="A696" s="7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35">
      <c r="A697" s="7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35">
      <c r="A698" s="7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35">
      <c r="A699" s="7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35">
      <c r="A700" s="7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35">
      <c r="A701" s="7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35">
      <c r="A702" s="7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35">
      <c r="A703" s="7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35">
      <c r="A704" s="7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35">
      <c r="A705" s="7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35">
      <c r="A706" s="7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35">
      <c r="A707" s="7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35">
      <c r="A708" s="7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35">
      <c r="A709" s="7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35">
      <c r="A710" s="7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35">
      <c r="A711" s="7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35">
      <c r="A712" s="7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35">
      <c r="A713" s="7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35">
      <c r="A714" s="7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35">
      <c r="A715" s="7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35">
      <c r="A716" s="7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35">
      <c r="A717" s="7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35">
      <c r="A718" s="7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35">
      <c r="A719" s="7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35">
      <c r="A720" s="7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35">
      <c r="A721" s="7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35">
      <c r="A722" s="7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35">
      <c r="A723" s="7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35">
      <c r="A724" s="7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35">
      <c r="A725" s="7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35">
      <c r="A726" s="7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35">
      <c r="A727" s="7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35">
      <c r="A728" s="7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35">
      <c r="A729" s="7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35">
      <c r="A730" s="7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35">
      <c r="A731" s="7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35">
      <c r="A732" s="7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35">
      <c r="A733" s="7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35">
      <c r="A734" s="7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35">
      <c r="A735" s="7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35">
      <c r="A736" s="7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35">
      <c r="A737" s="7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35">
      <c r="A738" s="7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35">
      <c r="A739" s="7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35">
      <c r="A740" s="7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35">
      <c r="A741" s="7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35">
      <c r="A742" s="7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35">
      <c r="A743" s="7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35">
      <c r="A744" s="7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35">
      <c r="A745" s="7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35">
      <c r="A746" s="7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35">
      <c r="A747" s="7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35">
      <c r="A748" s="7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35">
      <c r="A749" s="7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35">
      <c r="A750" s="7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35">
      <c r="A751" s="7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35">
      <c r="A752" s="7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35">
      <c r="A753" s="7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35">
      <c r="A754" s="7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35">
      <c r="A755" s="7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35">
      <c r="A756" s="7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35">
      <c r="A757" s="7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35">
      <c r="A758" s="7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35">
      <c r="A759" s="7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35">
      <c r="A760" s="7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35">
      <c r="A761" s="7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35">
      <c r="A762" s="7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35">
      <c r="A763" s="7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35">
      <c r="A764" s="7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35">
      <c r="A765" s="7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35">
      <c r="A766" s="7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35">
      <c r="A767" s="7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35">
      <c r="A768" s="7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35">
      <c r="A769" s="7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35">
      <c r="A770" s="7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35">
      <c r="A771" s="7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35">
      <c r="A772" s="7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35">
      <c r="A773" s="7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35">
      <c r="A774" s="7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35">
      <c r="A775" s="7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35">
      <c r="A776" s="7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35">
      <c r="A777" s="7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35">
      <c r="A778" s="7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35">
      <c r="A779" s="7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35">
      <c r="A780" s="7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35">
      <c r="A781" s="7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35">
      <c r="A782" s="7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35">
      <c r="A783" s="7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35">
      <c r="A784" s="7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35">
      <c r="A785" s="7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35">
      <c r="A786" s="7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35">
      <c r="A787" s="7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35">
      <c r="A788" s="7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35">
      <c r="A789" s="7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35">
      <c r="A790" s="7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35">
      <c r="A791" s="7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35">
      <c r="A792" s="7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35">
      <c r="A793" s="7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35">
      <c r="A794" s="7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35">
      <c r="A795" s="7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35">
      <c r="A796" s="7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35">
      <c r="A797" s="7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35">
      <c r="A798" s="7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35">
      <c r="A799" s="7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35">
      <c r="A800" s="7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35">
      <c r="A801" s="7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35">
      <c r="A802" s="7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35">
      <c r="A803" s="7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35">
      <c r="A804" s="7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35">
      <c r="A805" s="7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35">
      <c r="A806" s="7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35">
      <c r="A807" s="7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35">
      <c r="A808" s="7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35">
      <c r="A809" s="7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35">
      <c r="A810" s="7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35">
      <c r="A811" s="7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35">
      <c r="A812" s="7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35">
      <c r="A813" s="7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35">
      <c r="A814" s="7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35">
      <c r="A815" s="7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35">
      <c r="A816" s="7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35">
      <c r="A817" s="7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35">
      <c r="A818" s="7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35">
      <c r="A819" s="7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35">
      <c r="A820" s="7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35">
      <c r="A821" s="7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35">
      <c r="A822" s="7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35">
      <c r="A823" s="7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35">
      <c r="A824" s="7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35">
      <c r="A825" s="7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35">
      <c r="A826" s="7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35">
      <c r="A827" s="7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35">
      <c r="A828" s="7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35">
      <c r="A829" s="7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35">
      <c r="A830" s="7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35">
      <c r="A831" s="7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35">
      <c r="A832" s="7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35">
      <c r="A833" s="7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35">
      <c r="A834" s="7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35">
      <c r="A835" s="7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35">
      <c r="A836" s="7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35">
      <c r="A837" s="7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35">
      <c r="A838" s="7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35">
      <c r="A839" s="7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35">
      <c r="A840" s="7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35">
      <c r="A841" s="7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35">
      <c r="A842" s="7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35">
      <c r="A843" s="7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35">
      <c r="A844" s="7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35">
      <c r="A845" s="7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35">
      <c r="A846" s="7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35">
      <c r="A847" s="7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35">
      <c r="A848" s="7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35">
      <c r="A849" s="7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35">
      <c r="A850" s="7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35">
      <c r="A851" s="7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35">
      <c r="A852" s="7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35">
      <c r="A853" s="7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35">
      <c r="A854" s="7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35">
      <c r="A855" s="7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35">
      <c r="A856" s="7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35">
      <c r="A857" s="7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35">
      <c r="A858" s="7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35">
      <c r="A859" s="7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35">
      <c r="A860" s="7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35">
      <c r="A861" s="7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35">
      <c r="A862" s="7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35">
      <c r="A863" s="7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35">
      <c r="A864" s="7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35">
      <c r="A865" s="7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35">
      <c r="A866" s="7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35">
      <c r="A867" s="7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35">
      <c r="A868" s="7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35">
      <c r="A869" s="7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35">
      <c r="A870" s="7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35">
      <c r="A871" s="7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35">
      <c r="A872" s="7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35">
      <c r="A873" s="7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35">
      <c r="A874" s="7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35">
      <c r="A875" s="7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35">
      <c r="A876" s="7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35">
      <c r="A877" s="7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35">
      <c r="A878" s="7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35">
      <c r="A879" s="7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35">
      <c r="A880" s="7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35">
      <c r="A881" s="7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35">
      <c r="A882" s="7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35">
      <c r="A883" s="7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35">
      <c r="A884" s="7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35">
      <c r="A885" s="7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35">
      <c r="A886" s="7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35">
      <c r="A887" s="7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35">
      <c r="A888" s="7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35">
      <c r="A889" s="7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35">
      <c r="A890" s="7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35">
      <c r="A891" s="7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35">
      <c r="A892" s="7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35">
      <c r="A893" s="7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35">
      <c r="A894" s="7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35">
      <c r="A895" s="7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35">
      <c r="A896" s="7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35">
      <c r="A897" s="7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35">
      <c r="A898" s="7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35">
      <c r="A899" s="7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35">
      <c r="A900" s="7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35">
      <c r="A901" s="7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35">
      <c r="A902" s="7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35">
      <c r="A903" s="7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35">
      <c r="A904" s="7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35">
      <c r="A905" s="7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35">
      <c r="A906" s="7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35">
      <c r="A907" s="7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35">
      <c r="A908" s="7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35">
      <c r="A909" s="7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35">
      <c r="A910" s="7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35">
      <c r="A911" s="7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35">
      <c r="A912" s="7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35">
      <c r="A913" s="7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35">
      <c r="A914" s="7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35">
      <c r="A915" s="7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35">
      <c r="A916" s="7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35">
      <c r="A917" s="7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35">
      <c r="A918" s="7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35">
      <c r="A919" s="7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35">
      <c r="A920" s="7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35">
      <c r="A921" s="7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35">
      <c r="A922" s="7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35">
      <c r="A923" s="7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35">
      <c r="A924" s="7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35">
      <c r="A925" s="7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35">
      <c r="A926" s="7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35">
      <c r="A927" s="7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35">
      <c r="A928" s="7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35">
      <c r="A929" s="7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35">
      <c r="A930" s="7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35">
      <c r="A931" s="7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35">
      <c r="A932" s="7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35">
      <c r="A933" s="7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35">
      <c r="A934" s="7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35">
      <c r="A935" s="7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35">
      <c r="A936" s="7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35">
      <c r="A937" s="7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35">
      <c r="A938" s="7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35">
      <c r="A939" s="7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35">
      <c r="A940" s="7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35">
      <c r="A941" s="7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35">
      <c r="A942" s="7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35">
      <c r="A943" s="7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35">
      <c r="A944" s="7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35">
      <c r="A945" s="7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35">
      <c r="A946" s="7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35">
      <c r="A947" s="7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35">
      <c r="A948" s="7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35">
      <c r="A949" s="7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35">
      <c r="A950" s="7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35">
      <c r="A951" s="7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35">
      <c r="A952" s="7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35">
      <c r="A953" s="7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35">
      <c r="A954" s="7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35">
      <c r="A955" s="7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35">
      <c r="A956" s="7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35">
      <c r="A957" s="7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35">
      <c r="A958" s="7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35">
      <c r="A959" s="7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35">
      <c r="A960" s="7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35">
      <c r="A961" s="7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35">
      <c r="A962" s="7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35">
      <c r="A963" s="7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35">
      <c r="A964" s="7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35">
      <c r="A965" s="7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35">
      <c r="A966" s="7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35">
      <c r="A967" s="7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35">
      <c r="A968" s="7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35">
      <c r="A969" s="7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35">
      <c r="A970" s="7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35">
      <c r="A971" s="7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35">
      <c r="A972" s="7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35">
      <c r="A973" s="7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35">
      <c r="A974" s="7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35">
      <c r="A975" s="7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35">
      <c r="A976" s="7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35">
      <c r="A977" s="7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35">
      <c r="A978" s="7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35">
      <c r="A979" s="7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35">
      <c r="A980" s="7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35">
      <c r="A981" s="7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35">
      <c r="A982" s="7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35">
      <c r="A983" s="7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35">
      <c r="A984" s="7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35">
      <c r="A985" s="7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35">
      <c r="A986" s="7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35">
      <c r="A987" s="7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35">
      <c r="A988" s="7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35">
      <c r="A989" s="7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35">
      <c r="A990" s="7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35">
      <c r="A991" s="7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35">
      <c r="A992" s="7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35">
      <c r="A993" s="7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35">
      <c r="A994" s="7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35">
      <c r="A995" s="7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35">
      <c r="A996" s="7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35">
      <c r="A997" s="7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35">
      <c r="A998" s="7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35">
      <c r="A999" s="7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x14ac:dyDescent="0.35">
      <c r="A1000" s="7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B2:E2"/>
  </mergeCells>
  <hyperlinks>
    <hyperlink ref="F15" r:id="rId1" display="http://установкигнб.рф/"/>
  </hyperlink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ЦФО </vt:lpstr>
      <vt:lpstr>СЗФО </vt:lpstr>
      <vt:lpstr>СФО</vt:lpstr>
      <vt:lpstr>ПФО</vt:lpstr>
      <vt:lpstr>ДФО</vt:lpstr>
      <vt:lpstr>ЮФО</vt:lpstr>
      <vt:lpstr>УФО</vt:lpstr>
      <vt:lpstr>СКФО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 Efimenkova</dc:creator>
  <cp:lastModifiedBy>Tatyana Efimenkova</cp:lastModifiedBy>
  <dcterms:created xsi:type="dcterms:W3CDTF">2017-08-01T11:14:59Z</dcterms:created>
  <dcterms:modified xsi:type="dcterms:W3CDTF">2017-11-03T09:49:42Z</dcterms:modified>
</cp:coreProperties>
</file>